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25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N31" i="1" l="1"/>
  <c r="O31" i="1" s="1"/>
  <c r="M31" i="1"/>
  <c r="L31" i="1"/>
  <c r="P30" i="1"/>
  <c r="O24" i="1"/>
  <c r="P24" i="1" s="1"/>
  <c r="S24" i="1" s="1"/>
  <c r="N24" i="1"/>
  <c r="M24" i="1"/>
  <c r="X23" i="1" a="1"/>
  <c r="X24" i="1" s="1"/>
  <c r="W23" i="1" a="1"/>
  <c r="W24" i="1" s="1"/>
  <c r="V24" i="1"/>
  <c r="V23" i="1"/>
  <c r="V26" i="1" s="1"/>
  <c r="V23" i="1" a="1"/>
  <c r="R23" i="1"/>
  <c r="O23" i="1"/>
  <c r="P23" i="1" s="1"/>
  <c r="S23" i="1" s="1"/>
  <c r="N23" i="1"/>
  <c r="M23" i="1"/>
  <c r="Q22" i="1"/>
  <c r="O22" i="1"/>
  <c r="P22" i="1" s="1"/>
  <c r="S22" i="1" s="1"/>
  <c r="N22" i="1"/>
  <c r="M22" i="1"/>
  <c r="F22" i="1"/>
  <c r="F21" i="1"/>
  <c r="X20" i="1"/>
  <c r="S20" i="1"/>
  <c r="Q24" i="1" s="1"/>
  <c r="H20" i="1"/>
  <c r="H19" i="1"/>
  <c r="I19" i="1" s="1"/>
  <c r="G19" i="1"/>
  <c r="H18" i="1"/>
  <c r="W17" i="1"/>
  <c r="V17" i="1"/>
  <c r="N17" i="1"/>
  <c r="M17" i="1"/>
  <c r="M16" i="1" s="1"/>
  <c r="F17" i="1"/>
  <c r="O16" i="1"/>
  <c r="N16" i="1"/>
  <c r="Y15" i="1"/>
  <c r="X15" i="1"/>
  <c r="W15" i="1"/>
  <c r="V15" i="1"/>
  <c r="U15" i="1"/>
  <c r="O15" i="1"/>
  <c r="P15" i="1" s="1"/>
  <c r="N15" i="1"/>
  <c r="M15" i="1"/>
  <c r="H15" i="1"/>
  <c r="H14" i="1"/>
  <c r="I14" i="1" s="1"/>
  <c r="G14" i="1"/>
  <c r="F14" i="1"/>
  <c r="Y13" i="1"/>
  <c r="G20" i="1" s="1"/>
  <c r="R13" i="1"/>
  <c r="F13" i="1"/>
  <c r="I12" i="1"/>
  <c r="H12" i="1"/>
  <c r="G12" i="1"/>
  <c r="F12" i="1"/>
  <c r="M11" i="1"/>
  <c r="G11" i="1"/>
  <c r="F11" i="1"/>
  <c r="M10" i="1"/>
  <c r="H10" i="1"/>
  <c r="M9" i="1"/>
  <c r="H9" i="1"/>
  <c r="I9" i="1" s="1"/>
  <c r="G9" i="1"/>
  <c r="F9" i="1"/>
  <c r="M8" i="1"/>
  <c r="F8" i="1"/>
  <c r="M7" i="1"/>
  <c r="H7" i="1"/>
  <c r="G7" i="1"/>
  <c r="I7" i="1" s="1"/>
  <c r="M6" i="1"/>
  <c r="H6" i="1"/>
  <c r="I6" i="1" s="1"/>
  <c r="G6" i="1"/>
  <c r="F6" i="1"/>
  <c r="M5" i="1"/>
  <c r="H4" i="1"/>
  <c r="I4" i="1" s="1"/>
  <c r="G4" i="1"/>
  <c r="F4" i="1"/>
  <c r="Q15" i="1" l="1"/>
  <c r="R15" i="1" s="1"/>
  <c r="I20" i="1"/>
  <c r="R24" i="1"/>
  <c r="V27" i="1"/>
  <c r="G22" i="1"/>
  <c r="R22" i="1"/>
  <c r="X23" i="1"/>
  <c r="U17" i="1"/>
  <c r="F19" i="1"/>
  <c r="H22" i="1"/>
  <c r="I22" i="1" s="1"/>
  <c r="V25" i="1"/>
  <c r="F3" i="1"/>
  <c r="F5" i="1"/>
  <c r="G8" i="1"/>
  <c r="H8" i="1"/>
  <c r="F10" i="1"/>
  <c r="H13" i="1"/>
  <c r="F15" i="1"/>
  <c r="G16" i="1"/>
  <c r="H17" i="1"/>
  <c r="F18" i="1"/>
  <c r="F20" i="1"/>
  <c r="H21" i="1"/>
  <c r="H11" i="1"/>
  <c r="I11" i="1" s="1"/>
  <c r="G13" i="1"/>
  <c r="F16" i="1"/>
  <c r="G17" i="1"/>
  <c r="X17" i="1"/>
  <c r="G21" i="1"/>
  <c r="G3" i="1"/>
  <c r="G5" i="1"/>
  <c r="W23" i="1"/>
  <c r="H3" i="1"/>
  <c r="I3" i="1" s="1"/>
  <c r="H5" i="1"/>
  <c r="I5" i="1" s="1"/>
  <c r="F7" i="1"/>
  <c r="G10" i="1"/>
  <c r="I10" i="1" s="1"/>
  <c r="G15" i="1"/>
  <c r="I15" i="1" s="1"/>
  <c r="H16" i="1"/>
  <c r="I16" i="1" s="1"/>
  <c r="G18" i="1"/>
  <c r="I18" i="1" s="1"/>
  <c r="Q23" i="1"/>
  <c r="I17" i="1" l="1"/>
  <c r="I13" i="1"/>
  <c r="W26" i="1"/>
  <c r="W25" i="1"/>
  <c r="W27" i="1"/>
  <c r="I21" i="1"/>
  <c r="I8" i="1"/>
  <c r="X26" i="1"/>
  <c r="X25" i="1"/>
  <c r="X27" i="1"/>
</calcChain>
</file>

<file path=xl/sharedStrings.xml><?xml version="1.0" encoding="utf-8"?>
<sst xmlns="http://schemas.openxmlformats.org/spreadsheetml/2006/main" count="62" uniqueCount="49">
  <si>
    <t>Mask</t>
  </si>
  <si>
    <t>Sales Person</t>
  </si>
  <si>
    <t>Intelligence</t>
  </si>
  <si>
    <t>Extroversion</t>
  </si>
  <si>
    <t>$ Sales/Week</t>
  </si>
  <si>
    <t>Estimated</t>
  </si>
  <si>
    <t>LL</t>
  </si>
  <si>
    <t>UL</t>
  </si>
  <si>
    <t>Range</t>
  </si>
  <si>
    <t>Linear Regression Analysis</t>
  </si>
  <si>
    <t>Regression Statistics</t>
  </si>
  <si>
    <t>R Square</t>
  </si>
  <si>
    <t>Adjusted R Square</t>
  </si>
  <si>
    <t>Standard Error</t>
  </si>
  <si>
    <t>LLF</t>
  </si>
  <si>
    <t>AIC</t>
  </si>
  <si>
    <t>SBIC</t>
  </si>
  <si>
    <t>Observations</t>
  </si>
  <si>
    <t>ANOVA</t>
  </si>
  <si>
    <t>Residuals (standardized) Analysis</t>
  </si>
  <si>
    <t>df</t>
  </si>
  <si>
    <t>SS</t>
  </si>
  <si>
    <t>MS</t>
  </si>
  <si>
    <t>F</t>
  </si>
  <si>
    <t>P-Value</t>
  </si>
  <si>
    <t>SIG?</t>
  </si>
  <si>
    <t>AVG</t>
  </si>
  <si>
    <t>STDEV</t>
  </si>
  <si>
    <t>SKEW</t>
  </si>
  <si>
    <t>KURTOSIS</t>
  </si>
  <si>
    <t>Normal?</t>
  </si>
  <si>
    <t>Regression</t>
  </si>
  <si>
    <t>Residuals</t>
  </si>
  <si>
    <t>Target</t>
  </si>
  <si>
    <t>Total</t>
  </si>
  <si>
    <t>Regression Coefficients</t>
  </si>
  <si>
    <t>Stepwise Regression</t>
  </si>
  <si>
    <t>Value</t>
  </si>
  <si>
    <t>std. Error</t>
  </si>
  <si>
    <t>t-stat</t>
  </si>
  <si>
    <t>FWD</t>
  </si>
  <si>
    <t>BKWD</t>
  </si>
  <si>
    <t>BIDI</t>
  </si>
  <si>
    <t>Intercept</t>
  </si>
  <si>
    <t>Error</t>
  </si>
  <si>
    <t>Regression stability test (Chow test)</t>
  </si>
  <si>
    <t>Score</t>
  </si>
  <si>
    <t>C.V.</t>
  </si>
  <si>
    <t>Stable?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</si>
</sst>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#0.0%"/>
    <numFmt numFmtId="166" formatCode="#0.00"/>
    <numFmt numFmtId="167" formatCode="#0"/>
    <numFmt numFmtId="168" formatCode="#0.0"/>
    <numFmt numFmtId="169" formatCode="#0.000"/>
    <numFmt numFmtId="170" formatCode="#0.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A02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3" fillId="0" borderId="0" xfId="0" applyFont="1" applyBorder="1" applyAlignment="1">
      <alignment horizontal="right"/>
    </xf>
    <xf numFmtId="165" fontId="0" fillId="0" borderId="0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167" fontId="0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5" fontId="2" fillId="3" borderId="0" xfId="0" applyNumberFormat="1" applyFont="1" applyFill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7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8" fontId="0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64" fontId="0" fillId="0" borderId="4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Border="1"/>
    <xf numFmtId="164" fontId="0" fillId="0" borderId="9" xfId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6" fontId="0" fillId="0" borderId="6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169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26401146192159E-2"/>
          <c:y val="3.7466314010023823E-2"/>
          <c:w val="0.88119002613766306"/>
          <c:h val="0.8779949376022006"/>
        </c:manualLayout>
      </c:layout>
      <c:areaChart>
        <c:grouping val="stacked"/>
        <c:varyColors val="0"/>
        <c:ser>
          <c:idx val="2"/>
          <c:order val="2"/>
          <c:tx>
            <c:strRef>
              <c:f>[1]Data!$G$2</c:f>
              <c:strCache>
                <c:ptCount val="1"/>
                <c:pt idx="0">
                  <c:v>LL</c:v>
                </c:pt>
              </c:strCache>
            </c:strRef>
          </c:tx>
          <c:spPr>
            <a:noFill/>
          </c:spPr>
          <c:val>
            <c:numRef>
              <c:f>[1]Data!$G$3:$G$22</c:f>
              <c:numCache>
                <c:formatCode>_("$"* #,##0_);_("$"* \(#,##0\);_("$"* "-"??_);_(@_)</c:formatCode>
                <c:ptCount val="20"/>
                <c:pt idx="0">
                  <c:v>2239.3857709791309</c:v>
                </c:pt>
                <c:pt idx="1">
                  <c:v>2446.1626516883375</c:v>
                </c:pt>
                <c:pt idx="2">
                  <c:v>2239.3857709791309</c:v>
                </c:pt>
                <c:pt idx="3">
                  <c:v>2379.7300774048335</c:v>
                </c:pt>
                <c:pt idx="4">
                  <c:v>2630.9976419957884</c:v>
                </c:pt>
                <c:pt idx="5">
                  <c:v>2010.4601553616526</c:v>
                </c:pt>
                <c:pt idx="6">
                  <c:v>2089.1535687730948</c:v>
                </c:pt>
                <c:pt idx="7">
                  <c:v>1846.3723424719342</c:v>
                </c:pt>
                <c:pt idx="8">
                  <c:v>2379.7300774048335</c:v>
                </c:pt>
                <c:pt idx="9">
                  <c:v>2688.0621840466988</c:v>
                </c:pt>
                <c:pt idx="10">
                  <c:v>2165.4857263615636</c:v>
                </c:pt>
                <c:pt idx="11">
                  <c:v>2510.1403765266218</c:v>
                </c:pt>
                <c:pt idx="12">
                  <c:v>2165.4857263615636</c:v>
                </c:pt>
                <c:pt idx="13">
                  <c:v>2571.7242578015625</c:v>
                </c:pt>
                <c:pt idx="14">
                  <c:v>2688.0621840466988</c:v>
                </c:pt>
                <c:pt idx="15">
                  <c:v>2743.0333630743062</c:v>
                </c:pt>
                <c:pt idx="16">
                  <c:v>2510.1403765266218</c:v>
                </c:pt>
                <c:pt idx="17">
                  <c:v>2379.7300774048335</c:v>
                </c:pt>
                <c:pt idx="18">
                  <c:v>2089.1535687730948</c:v>
                </c:pt>
                <c:pt idx="19">
                  <c:v>1846.3723424719342</c:v>
                </c:pt>
              </c:numCache>
            </c:numRef>
          </c:val>
        </c:ser>
        <c:ser>
          <c:idx val="3"/>
          <c:order val="3"/>
          <c:tx>
            <c:strRef>
              <c:f>[1]Data!$I$2</c:f>
              <c:strCache>
                <c:ptCount val="1"/>
                <c:pt idx="0">
                  <c:v>Range</c:v>
                </c:pt>
              </c:strCache>
            </c:strRef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[1]Data!$I$3:$I$22</c:f>
              <c:numCache>
                <c:formatCode>_("$"* #,##0_);_("$"* \(#,##0\);_("$"* "-"??_);_(@_)</c:formatCode>
                <c:ptCount val="20"/>
                <c:pt idx="0">
                  <c:v>1336.8209736342524</c:v>
                </c:pt>
                <c:pt idx="1">
                  <c:v>1341.146630095257</c:v>
                </c:pt>
                <c:pt idx="2">
                  <c:v>1336.8209736342524</c:v>
                </c:pt>
                <c:pt idx="3">
                  <c:v>1334.7186393691263</c:v>
                </c:pt>
                <c:pt idx="4">
                  <c:v>1389.3560673597731</c:v>
                </c:pt>
                <c:pt idx="5">
                  <c:v>1376.7927869897912</c:v>
                </c:pt>
                <c:pt idx="6">
                  <c:v>1358.6990994600465</c:v>
                </c:pt>
                <c:pt idx="7">
                  <c:v>1426.3821341829498</c:v>
                </c:pt>
                <c:pt idx="8">
                  <c:v>1334.7186393691263</c:v>
                </c:pt>
                <c:pt idx="9">
                  <c:v>1414.5201225510914</c:v>
                </c:pt>
                <c:pt idx="10">
                  <c:v>1345.3279235762484</c:v>
                </c:pt>
                <c:pt idx="11">
                  <c:v>1352.484319711828</c:v>
                </c:pt>
                <c:pt idx="12">
                  <c:v>1345.3279235762484</c:v>
                </c:pt>
                <c:pt idx="13">
                  <c:v>1368.6096964550861</c:v>
                </c:pt>
                <c:pt idx="14">
                  <c:v>1414.5201225510914</c:v>
                </c:pt>
                <c:pt idx="15">
                  <c:v>1443.8709037890167</c:v>
                </c:pt>
                <c:pt idx="16">
                  <c:v>1352.484319711828</c:v>
                </c:pt>
                <c:pt idx="17">
                  <c:v>1334.7186393691263</c:v>
                </c:pt>
                <c:pt idx="18">
                  <c:v>1358.6990994600465</c:v>
                </c:pt>
                <c:pt idx="19">
                  <c:v>1426.3821341829498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901312"/>
        <c:axId val="401561792"/>
      </c:areaChart>
      <c:lineChart>
        <c:grouping val="standard"/>
        <c:varyColors val="0"/>
        <c:ser>
          <c:idx val="0"/>
          <c:order val="0"/>
          <c:tx>
            <c:strRef>
              <c:f>[1]Data!$E$2</c:f>
              <c:strCache>
                <c:ptCount val="1"/>
                <c:pt idx="0">
                  <c:v>$ Sales/Week</c:v>
                </c:pt>
              </c:strCache>
            </c:strRef>
          </c:tx>
          <c:spPr>
            <a:ln w="15875"/>
          </c:spPr>
          <c:marker>
            <c:symbol val="square"/>
            <c:size val="5"/>
          </c:marker>
          <c:val>
            <c:numRef>
              <c:f>[1]Data!$E$3:$E$22</c:f>
              <c:numCache>
                <c:formatCode>_("$"* #,##0_);_("$"* \(#,##0\);_("$"* "-"??_);_(@_)</c:formatCode>
                <c:ptCount val="20"/>
                <c:pt idx="0">
                  <c:v>2625</c:v>
                </c:pt>
                <c:pt idx="1">
                  <c:v>2700</c:v>
                </c:pt>
                <c:pt idx="2">
                  <c:v>3100</c:v>
                </c:pt>
                <c:pt idx="3">
                  <c:v>3150</c:v>
                </c:pt>
                <c:pt idx="4">
                  <c:v>3175</c:v>
                </c:pt>
                <c:pt idx="5">
                  <c:v>3100</c:v>
                </c:pt>
                <c:pt idx="6">
                  <c:v>2700</c:v>
                </c:pt>
                <c:pt idx="7">
                  <c:v>2475</c:v>
                </c:pt>
                <c:pt idx="8">
                  <c:v>3625</c:v>
                </c:pt>
                <c:pt idx="9">
                  <c:v>3525</c:v>
                </c:pt>
                <c:pt idx="10">
                  <c:v>3225</c:v>
                </c:pt>
                <c:pt idx="11">
                  <c:v>3450</c:v>
                </c:pt>
                <c:pt idx="12">
                  <c:v>2425</c:v>
                </c:pt>
                <c:pt idx="13">
                  <c:v>3025</c:v>
                </c:pt>
                <c:pt idx="14">
                  <c:v>3625</c:v>
                </c:pt>
                <c:pt idx="15">
                  <c:v>#N/A</c:v>
                </c:pt>
                <c:pt idx="16">
                  <c:v>3150</c:v>
                </c:pt>
                <c:pt idx="17">
                  <c:v>2600</c:v>
                </c:pt>
                <c:pt idx="18">
                  <c:v>2525</c:v>
                </c:pt>
                <c:pt idx="19">
                  <c:v>2650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[1]Data!$F$2</c:f>
              <c:strCache>
                <c:ptCount val="1"/>
                <c:pt idx="0">
                  <c:v>Estimated</c:v>
                </c:pt>
              </c:strCache>
            </c:strRef>
          </c:tx>
          <c:spPr>
            <a:ln w="19050">
              <a:prstDash val="sysDash"/>
            </a:ln>
          </c:spPr>
          <c:marker>
            <c:symbol val="square"/>
            <c:size val="5"/>
          </c:marker>
          <c:val>
            <c:numRef>
              <c:f>[1]Data!$F$3:$F$22</c:f>
              <c:numCache>
                <c:formatCode>_("$"* #,##0_);_("$"* \(#,##0\);_("$"* "-"??_);_(@_)</c:formatCode>
                <c:ptCount val="20"/>
                <c:pt idx="0">
                  <c:v>2907.7962577962571</c:v>
                </c:pt>
                <c:pt idx="1">
                  <c:v>3116.735966735966</c:v>
                </c:pt>
                <c:pt idx="2">
                  <c:v>2907.7962577962571</c:v>
                </c:pt>
                <c:pt idx="3">
                  <c:v>3047.0893970893967</c:v>
                </c:pt>
                <c:pt idx="4">
                  <c:v>3325.6756756756749</c:v>
                </c:pt>
                <c:pt idx="5">
                  <c:v>2698.8565488565482</c:v>
                </c:pt>
                <c:pt idx="6">
                  <c:v>2768.503118503118</c:v>
                </c:pt>
                <c:pt idx="7">
                  <c:v>2559.5634095634091</c:v>
                </c:pt>
                <c:pt idx="8">
                  <c:v>3047.0893970893967</c:v>
                </c:pt>
                <c:pt idx="9">
                  <c:v>3395.3222453222447</c:v>
                </c:pt>
                <c:pt idx="10">
                  <c:v>2838.1496881496878</c:v>
                </c:pt>
                <c:pt idx="11">
                  <c:v>3186.3825363825358</c:v>
                </c:pt>
                <c:pt idx="12">
                  <c:v>2838.1496881496878</c:v>
                </c:pt>
                <c:pt idx="13">
                  <c:v>3256.0291060291056</c:v>
                </c:pt>
                <c:pt idx="14">
                  <c:v>3395.3222453222447</c:v>
                </c:pt>
                <c:pt idx="15">
                  <c:v>3464.9688149688145</c:v>
                </c:pt>
                <c:pt idx="16">
                  <c:v>3186.3825363825358</c:v>
                </c:pt>
                <c:pt idx="17">
                  <c:v>3047.0893970893967</c:v>
                </c:pt>
                <c:pt idx="18">
                  <c:v>2768.503118503118</c:v>
                </c:pt>
                <c:pt idx="19">
                  <c:v>2559.5634095634091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901312"/>
        <c:axId val="401561792"/>
      </c:lineChart>
      <c:catAx>
        <c:axId val="341901312"/>
        <c:scaling>
          <c:orientation val="minMax"/>
        </c:scaling>
        <c:delete val="0"/>
        <c:axPos val="b"/>
        <c:majorTickMark val="out"/>
        <c:minorTickMark val="none"/>
        <c:tickLblPos val="nextTo"/>
        <c:crossAx val="401561792"/>
        <c:crosses val="autoZero"/>
        <c:auto val="1"/>
        <c:lblAlgn val="ctr"/>
        <c:lblOffset val="100"/>
        <c:noMultiLvlLbl val="0"/>
      </c:catAx>
      <c:valAx>
        <c:axId val="401561792"/>
        <c:scaling>
          <c:orientation val="minMax"/>
          <c:min val="1500"/>
        </c:scaling>
        <c:delete val="0"/>
        <c:axPos val="l"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41901312"/>
        <c:crosses val="autoZero"/>
        <c:crossBetween val="between"/>
      </c:valAx>
      <c:spPr>
        <a:noFill/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30181849321707571"/>
          <c:y val="1.7155608415080448E-2"/>
          <c:w val="0.17480238080487584"/>
          <c:h val="0.1220443881837704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296333</xdr:colOff>
      <xdr:row>25</xdr:row>
      <xdr:rowOff>46567</xdr:rowOff>
    </xdr:from>
    <xdr:to>
      <xdr:col>8</xdr:col>
      <xdr:colOff>635000</xdr:colOff>
      <xdr:row>45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umXL/My%20Box%20Files/Beta%20Support/NumXL%201.60%20Apache/Examples/Regression-full-examp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tepwise"/>
      <sheetName val="Influential Data"/>
      <sheetName val="Forecast"/>
      <sheetName val="Data"/>
      <sheetName val="Sheet1"/>
      <sheetName val="Sheet2"/>
    </sheetNames>
    <sheetDataSet>
      <sheetData sheetId="0"/>
      <sheetData sheetId="1"/>
      <sheetData sheetId="2"/>
      <sheetData sheetId="3"/>
      <sheetData sheetId="4">
        <row r="1">
          <cell r="C1">
            <v>0</v>
          </cell>
          <cell r="D1">
            <v>1</v>
          </cell>
        </row>
        <row r="2">
          <cell r="E2" t="str">
            <v>$ Sales/Week</v>
          </cell>
          <cell r="F2" t="str">
            <v>Estimated</v>
          </cell>
          <cell r="G2" t="str">
            <v>LL</v>
          </cell>
          <cell r="I2" t="str">
            <v>Range</v>
          </cell>
        </row>
        <row r="3">
          <cell r="C3">
            <v>89</v>
          </cell>
          <cell r="D3">
            <v>21</v>
          </cell>
          <cell r="E3">
            <v>2625</v>
          </cell>
          <cell r="F3">
            <v>2907.7962577962571</v>
          </cell>
          <cell r="G3">
            <v>2239.3857709791309</v>
          </cell>
          <cell r="I3">
            <v>1336.8209736342524</v>
          </cell>
        </row>
        <row r="4">
          <cell r="C4">
            <v>93</v>
          </cell>
          <cell r="D4">
            <v>24</v>
          </cell>
          <cell r="E4">
            <v>2700</v>
          </cell>
          <cell r="F4">
            <v>3116.735966735966</v>
          </cell>
          <cell r="G4">
            <v>2446.1626516883375</v>
          </cell>
          <cell r="I4">
            <v>1341.146630095257</v>
          </cell>
        </row>
        <row r="5">
          <cell r="C5">
            <v>91</v>
          </cell>
          <cell r="D5">
            <v>21</v>
          </cell>
          <cell r="E5">
            <v>3100</v>
          </cell>
          <cell r="F5">
            <v>2907.7962577962571</v>
          </cell>
          <cell r="G5">
            <v>2239.3857709791309</v>
          </cell>
          <cell r="I5">
            <v>1336.8209736342524</v>
          </cell>
        </row>
        <row r="6">
          <cell r="C6">
            <v>122</v>
          </cell>
          <cell r="D6">
            <v>23</v>
          </cell>
          <cell r="E6">
            <v>3150</v>
          </cell>
          <cell r="F6">
            <v>3047.0893970893967</v>
          </cell>
          <cell r="G6">
            <v>2379.7300774048335</v>
          </cell>
          <cell r="I6">
            <v>1334.7186393691263</v>
          </cell>
        </row>
        <row r="7">
          <cell r="C7">
            <v>115</v>
          </cell>
          <cell r="D7">
            <v>27</v>
          </cell>
          <cell r="E7">
            <v>3175</v>
          </cell>
          <cell r="F7">
            <v>3325.6756756756749</v>
          </cell>
          <cell r="G7">
            <v>2630.9976419957884</v>
          </cell>
          <cell r="I7">
            <v>1389.3560673597731</v>
          </cell>
        </row>
        <row r="8">
          <cell r="C8">
            <v>100</v>
          </cell>
          <cell r="D8">
            <v>18</v>
          </cell>
          <cell r="E8">
            <v>3100</v>
          </cell>
          <cell r="F8">
            <v>2698.8565488565482</v>
          </cell>
          <cell r="G8">
            <v>2010.4601553616526</v>
          </cell>
          <cell r="I8">
            <v>1376.7927869897912</v>
          </cell>
        </row>
        <row r="9">
          <cell r="C9">
            <v>98</v>
          </cell>
          <cell r="D9">
            <v>19</v>
          </cell>
          <cell r="E9">
            <v>2700</v>
          </cell>
          <cell r="F9">
            <v>2768.503118503118</v>
          </cell>
          <cell r="G9">
            <v>2089.1535687730948</v>
          </cell>
          <cell r="I9">
            <v>1358.6990994600465</v>
          </cell>
        </row>
        <row r="10">
          <cell r="C10">
            <v>105</v>
          </cell>
          <cell r="D10">
            <v>16</v>
          </cell>
          <cell r="E10">
            <v>2475</v>
          </cell>
          <cell r="F10">
            <v>2559.5634095634091</v>
          </cell>
          <cell r="G10">
            <v>1846.3723424719342</v>
          </cell>
          <cell r="I10">
            <v>1426.3821341829498</v>
          </cell>
        </row>
        <row r="11">
          <cell r="C11">
            <v>112</v>
          </cell>
          <cell r="D11">
            <v>23</v>
          </cell>
          <cell r="E11">
            <v>3625</v>
          </cell>
          <cell r="F11">
            <v>3047.0893970893967</v>
          </cell>
          <cell r="G11">
            <v>2379.7300774048335</v>
          </cell>
          <cell r="I11">
            <v>1334.7186393691263</v>
          </cell>
        </row>
        <row r="12">
          <cell r="C12">
            <v>109</v>
          </cell>
          <cell r="D12">
            <v>28</v>
          </cell>
          <cell r="E12">
            <v>3525</v>
          </cell>
          <cell r="F12">
            <v>3395.3222453222447</v>
          </cell>
          <cell r="G12">
            <v>2688.0621840466988</v>
          </cell>
          <cell r="I12">
            <v>1414.5201225510914</v>
          </cell>
        </row>
        <row r="13">
          <cell r="C13">
            <v>130</v>
          </cell>
          <cell r="D13">
            <v>20</v>
          </cell>
          <cell r="E13">
            <v>3225</v>
          </cell>
          <cell r="F13">
            <v>2838.1496881496878</v>
          </cell>
          <cell r="G13">
            <v>2165.4857263615636</v>
          </cell>
          <cell r="I13">
            <v>1345.3279235762484</v>
          </cell>
        </row>
        <row r="14">
          <cell r="C14">
            <v>104</v>
          </cell>
          <cell r="D14">
            <v>25</v>
          </cell>
          <cell r="E14">
            <v>3450</v>
          </cell>
          <cell r="F14">
            <v>3186.3825363825358</v>
          </cell>
          <cell r="G14">
            <v>2510.1403765266218</v>
          </cell>
          <cell r="I14">
            <v>1352.484319711828</v>
          </cell>
        </row>
        <row r="15">
          <cell r="C15">
            <v>104</v>
          </cell>
          <cell r="D15">
            <v>20</v>
          </cell>
          <cell r="E15">
            <v>2425</v>
          </cell>
          <cell r="F15">
            <v>2838.1496881496878</v>
          </cell>
          <cell r="G15">
            <v>2165.4857263615636</v>
          </cell>
          <cell r="I15">
            <v>1345.3279235762484</v>
          </cell>
        </row>
        <row r="16">
          <cell r="C16">
            <v>111</v>
          </cell>
          <cell r="D16">
            <v>26</v>
          </cell>
          <cell r="E16">
            <v>3025</v>
          </cell>
          <cell r="F16">
            <v>3256.0291060291056</v>
          </cell>
          <cell r="G16">
            <v>2571.7242578015625</v>
          </cell>
          <cell r="I16">
            <v>1368.6096964550861</v>
          </cell>
        </row>
        <row r="17">
          <cell r="C17">
            <v>97</v>
          </cell>
          <cell r="D17">
            <v>28</v>
          </cell>
          <cell r="E17">
            <v>3625</v>
          </cell>
          <cell r="F17">
            <v>3395.3222453222447</v>
          </cell>
          <cell r="G17">
            <v>2688.0621840466988</v>
          </cell>
          <cell r="I17">
            <v>1414.5201225510914</v>
          </cell>
        </row>
        <row r="18">
          <cell r="C18">
            <v>115</v>
          </cell>
          <cell r="D18">
            <v>29</v>
          </cell>
          <cell r="E18" t="e">
            <v>#N/A</v>
          </cell>
          <cell r="F18">
            <v>3464.9688149688145</v>
          </cell>
          <cell r="G18">
            <v>2743.0333630743062</v>
          </cell>
          <cell r="I18">
            <v>1443.8709037890167</v>
          </cell>
        </row>
        <row r="19">
          <cell r="C19">
            <v>113</v>
          </cell>
          <cell r="D19">
            <v>25</v>
          </cell>
          <cell r="E19">
            <v>3150</v>
          </cell>
          <cell r="F19">
            <v>3186.3825363825358</v>
          </cell>
          <cell r="G19">
            <v>2510.1403765266218</v>
          </cell>
          <cell r="I19">
            <v>1352.484319711828</v>
          </cell>
        </row>
        <row r="20">
          <cell r="C20">
            <v>88</v>
          </cell>
          <cell r="D20">
            <v>23</v>
          </cell>
          <cell r="E20">
            <v>2600</v>
          </cell>
          <cell r="F20">
            <v>3047.0893970893967</v>
          </cell>
          <cell r="G20">
            <v>2379.7300774048335</v>
          </cell>
          <cell r="I20">
            <v>1334.7186393691263</v>
          </cell>
        </row>
        <row r="21">
          <cell r="C21">
            <v>108</v>
          </cell>
          <cell r="D21">
            <v>19</v>
          </cell>
          <cell r="E21">
            <v>2525</v>
          </cell>
          <cell r="F21">
            <v>2768.503118503118</v>
          </cell>
          <cell r="G21">
            <v>2089.1535687730948</v>
          </cell>
          <cell r="I21">
            <v>1358.6990994600465</v>
          </cell>
        </row>
        <row r="22">
          <cell r="C22">
            <v>101</v>
          </cell>
          <cell r="D22">
            <v>16</v>
          </cell>
          <cell r="E22">
            <v>2650</v>
          </cell>
          <cell r="F22">
            <v>2559.5634095634091</v>
          </cell>
          <cell r="G22">
            <v>1846.3723424719342</v>
          </cell>
          <cell r="I22">
            <v>1426.3821341829498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workbookViewId="0">
      <selection activeCell="J27" sqref="J27"/>
    </sheetView>
  </sheetViews>
  <sheetFormatPr defaultRowHeight="15" x14ac:dyDescent="0.25"/>
  <cols>
    <col min="2" max="2" width="14.5703125" customWidth="1"/>
    <col min="3" max="3" width="13.42578125" customWidth="1"/>
    <col min="4" max="4" width="15.5703125" customWidth="1"/>
    <col min="5" max="6" width="15.140625" customWidth="1"/>
    <col min="7" max="7" width="10.7109375" customWidth="1"/>
    <col min="8" max="8" width="11.28515625" customWidth="1"/>
    <col min="9" max="10" width="10" customWidth="1"/>
    <col min="15" max="15" width="11" customWidth="1"/>
  </cols>
  <sheetData>
    <row r="1" spans="2:25" ht="15.75" thickBot="1" x14ac:dyDescent="0.3">
      <c r="B1" s="1" t="s">
        <v>0</v>
      </c>
      <c r="C1" s="2">
        <v>0</v>
      </c>
      <c r="D1" s="2">
        <v>1</v>
      </c>
      <c r="F1">
        <v>1</v>
      </c>
    </row>
    <row r="2" spans="2:25" ht="15.75" thickBot="1" x14ac:dyDescent="0.3"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3" t="s">
        <v>6</v>
      </c>
      <c r="H2" s="3" t="s">
        <v>7</v>
      </c>
      <c r="I2" s="6" t="s">
        <v>8</v>
      </c>
      <c r="J2" s="7"/>
      <c r="L2" s="8" t="s">
        <v>9</v>
      </c>
    </row>
    <row r="3" spans="2:25" ht="15.75" thickBot="1" x14ac:dyDescent="0.3">
      <c r="B3" s="9">
        <v>1</v>
      </c>
      <c r="C3" s="9">
        <v>89</v>
      </c>
      <c r="D3" s="9">
        <v>21</v>
      </c>
      <c r="E3" s="10">
        <v>2625</v>
      </c>
      <c r="F3" s="11">
        <f>_xll.MLR_FORE($C$3:$D$22,$C$1:$D$1,$E$3:$E$22,,$C3:$D3,1,$Y$13)</f>
        <v>2907.7962577962571</v>
      </c>
      <c r="G3" s="11">
        <f>_xll.MLR_FORE($C$3:$D$22,$C$1:$D$1,$E$3:$E$22,,$C3:$D3,4,$Y$13)</f>
        <v>2239.3857709791309</v>
      </c>
      <c r="H3" s="11">
        <f>_xll.MLR_FORE($C$3:$D$22,$C$1:$D$1,$E$3:$E$22,,$C3:$D3,3,$Y$13)</f>
        <v>3576.2067446133833</v>
      </c>
      <c r="I3" s="11">
        <f>H3-G3</f>
        <v>1336.8209736342524</v>
      </c>
      <c r="J3" s="11"/>
    </row>
    <row r="4" spans="2:25" x14ac:dyDescent="0.25">
      <c r="B4" s="9">
        <v>2</v>
      </c>
      <c r="C4" s="9">
        <v>93</v>
      </c>
      <c r="D4" s="9">
        <v>24</v>
      </c>
      <c r="E4" s="10">
        <v>2700</v>
      </c>
      <c r="F4" s="11">
        <f>_xll.MLR_FORE($C$3:$D$22,$C$1:$D$1,$E$3:$E$22,,$C4:$D4,1,$Y$13)</f>
        <v>3116.735966735966</v>
      </c>
      <c r="G4" s="11">
        <f>_xll.MLR_FORE($C$3:$D$22,$C$1:$D$1,$E$3:$E$22,,$C4:$D4,4,$Y$13)</f>
        <v>2446.1626516883375</v>
      </c>
      <c r="H4" s="11">
        <f>_xll.MLR_FORE($C$3:$D$22,$C$1:$D$1,$E$3:$E$22,,$C4:$D4,3,$Y$13)</f>
        <v>3787.3092817835945</v>
      </c>
      <c r="I4" s="11">
        <f t="shared" ref="I4:I22" si="0">H4-G4</f>
        <v>1341.146630095257</v>
      </c>
      <c r="J4" s="11"/>
      <c r="L4" s="12" t="s">
        <v>10</v>
      </c>
      <c r="M4" s="13"/>
    </row>
    <row r="5" spans="2:25" x14ac:dyDescent="0.25">
      <c r="B5" s="9">
        <v>3</v>
      </c>
      <c r="C5" s="9">
        <v>91</v>
      </c>
      <c r="D5" s="9">
        <v>21</v>
      </c>
      <c r="E5" s="10">
        <v>3100</v>
      </c>
      <c r="F5" s="11">
        <f>_xll.MLR_FORE($C$3:$D$22,$C$1:$D$1,$E$3:$E$22,,$C5:$D5,1,$Y$13)</f>
        <v>2907.7962577962571</v>
      </c>
      <c r="G5" s="11">
        <f>_xll.MLR_FORE($C$3:$D$22,$C$1:$D$1,$E$3:$E$22,,$C5:$D5,4,$Y$13)</f>
        <v>2239.3857709791309</v>
      </c>
      <c r="H5" s="11">
        <f>_xll.MLR_FORE($C$3:$D$22,$C$1:$D$1,$E$3:$E$22,,$C5:$D5,3,$Y$13)</f>
        <v>3576.2067446133833</v>
      </c>
      <c r="I5" s="11">
        <f t="shared" si="0"/>
        <v>1336.8209736342524</v>
      </c>
      <c r="J5" s="11"/>
      <c r="L5" s="14" t="s">
        <v>11</v>
      </c>
      <c r="M5" s="15">
        <f>_xll.MLR_GOF($C$3:$D$22,[1]Data!$C$1:$D$1,$E$3:$E$22,,1)</f>
        <v>0.43237695256505049</v>
      </c>
    </row>
    <row r="6" spans="2:25" x14ac:dyDescent="0.25">
      <c r="B6" s="9">
        <v>4</v>
      </c>
      <c r="C6" s="9">
        <v>122</v>
      </c>
      <c r="D6" s="9">
        <v>23</v>
      </c>
      <c r="E6" s="10">
        <v>3150</v>
      </c>
      <c r="F6" s="11">
        <f>_xll.MLR_FORE($C$3:$D$22,$C$1:$D$1,$E$3:$E$22,,$C6:$D6,1,$Y$13)</f>
        <v>3047.0893970893967</v>
      </c>
      <c r="G6" s="11">
        <f>_xll.MLR_FORE($C$3:$D$22,$C$1:$D$1,$E$3:$E$22,,$C6:$D6,4,$Y$13)</f>
        <v>2379.7300774048335</v>
      </c>
      <c r="H6" s="11">
        <f>_xll.MLR_FORE($C$3:$D$22,$C$1:$D$1,$E$3:$E$22,,$C6:$D6,3,$Y$13)</f>
        <v>3714.4487167739599</v>
      </c>
      <c r="I6" s="11">
        <f t="shared" si="0"/>
        <v>1334.7186393691263</v>
      </c>
      <c r="J6" s="11"/>
      <c r="L6" s="14" t="s">
        <v>12</v>
      </c>
      <c r="M6" s="15">
        <f>_xll.MLR_GOF($C$3:$D$22,[1]Data!$C$1:$D$1,$E$3:$E$22,,2)</f>
        <v>0.39898736153946524</v>
      </c>
    </row>
    <row r="7" spans="2:25" x14ac:dyDescent="0.25">
      <c r="B7" s="9">
        <v>5</v>
      </c>
      <c r="C7" s="9">
        <v>115</v>
      </c>
      <c r="D7" s="9">
        <v>27</v>
      </c>
      <c r="E7" s="10">
        <v>3175</v>
      </c>
      <c r="F7" s="11">
        <f>_xll.MLR_FORE($C$3:$D$22,$C$1:$D$1,$E$3:$E$22,,$C7:$D7,1,$Y$13)</f>
        <v>3325.6756756756749</v>
      </c>
      <c r="G7" s="11">
        <f>_xll.MLR_FORE($C$3:$D$22,$C$1:$D$1,$E$3:$E$22,,$C7:$D7,4,$Y$13)</f>
        <v>2630.9976419957884</v>
      </c>
      <c r="H7" s="11">
        <f>_xll.MLR_FORE($C$3:$D$22,$C$1:$D$1,$E$3:$E$22,,$C7:$D7,3,$Y$13)</f>
        <v>4020.3537093555615</v>
      </c>
      <c r="I7" s="11">
        <f t="shared" si="0"/>
        <v>1389.3560673597731</v>
      </c>
      <c r="J7" s="11"/>
      <c r="L7" s="14" t="s">
        <v>13</v>
      </c>
      <c r="M7" s="16">
        <f>_xll.MLR_GOF($C$3:$D$22,[1]Data!$C$1:$D$1,$E$3:$E$22,,3)</f>
        <v>307.94258425278281</v>
      </c>
    </row>
    <row r="8" spans="2:25" x14ac:dyDescent="0.25">
      <c r="B8" s="9">
        <v>6</v>
      </c>
      <c r="C8" s="9">
        <v>100</v>
      </c>
      <c r="D8" s="9">
        <v>18</v>
      </c>
      <c r="E8" s="10">
        <v>3100</v>
      </c>
      <c r="F8" s="11">
        <f>_xll.MLR_FORE($C$3:$D$22,$C$1:$D$1,$E$3:$E$22,,$C8:$D8,1,$Y$13)</f>
        <v>2698.8565488565482</v>
      </c>
      <c r="G8" s="11">
        <f>_xll.MLR_FORE($C$3:$D$22,$C$1:$D$1,$E$3:$E$22,,$C8:$D8,4,$Y$13)</f>
        <v>2010.4601553616526</v>
      </c>
      <c r="H8" s="11">
        <f>_xll.MLR_FORE($C$3:$D$22,$C$1:$D$1,$E$3:$E$22,,$C8:$D8,3,$Y$13)</f>
        <v>3387.2529423514438</v>
      </c>
      <c r="I8" s="11">
        <f t="shared" si="0"/>
        <v>1376.7927869897912</v>
      </c>
      <c r="J8" s="11"/>
      <c r="L8" s="14" t="s">
        <v>14</v>
      </c>
      <c r="M8" s="16">
        <f>_xll.MLR_GOF($C$3:$D$22,[1]Data!$C$1:$D$1,$E$3:$E$22,,4)</f>
        <v>-134.82818579670609</v>
      </c>
    </row>
    <row r="9" spans="2:25" x14ac:dyDescent="0.25">
      <c r="B9" s="9">
        <v>7</v>
      </c>
      <c r="C9" s="9">
        <v>98</v>
      </c>
      <c r="D9" s="9">
        <v>19</v>
      </c>
      <c r="E9" s="10">
        <v>2700</v>
      </c>
      <c r="F9" s="11">
        <f>_xll.MLR_FORE($C$3:$D$22,$C$1:$D$1,$E$3:$E$22,,$C9:$D9,1,$Y$13)</f>
        <v>2768.503118503118</v>
      </c>
      <c r="G9" s="11">
        <f>_xll.MLR_FORE($C$3:$D$22,$C$1:$D$1,$E$3:$E$22,,$C9:$D9,4,$Y$13)</f>
        <v>2089.1535687730948</v>
      </c>
      <c r="H9" s="11">
        <f>_xll.MLR_FORE($C$3:$D$22,$C$1:$D$1,$E$3:$E$22,,$C9:$D9,3,$Y$13)</f>
        <v>3447.8526682331412</v>
      </c>
      <c r="I9" s="11">
        <f t="shared" si="0"/>
        <v>1358.6990994600465</v>
      </c>
      <c r="J9" s="11"/>
      <c r="L9" s="14" t="s">
        <v>15</v>
      </c>
      <c r="M9" s="16">
        <f>_xll.MLR_GOF($C$3:$D$22,[1]Data!$C$1:$D$1,$E$3:$E$22,,5)</f>
        <v>271.89166571105926</v>
      </c>
    </row>
    <row r="10" spans="2:25" x14ac:dyDescent="0.25">
      <c r="B10" s="9">
        <v>8</v>
      </c>
      <c r="C10" s="9">
        <v>105</v>
      </c>
      <c r="D10" s="9">
        <v>16</v>
      </c>
      <c r="E10" s="10">
        <v>2475</v>
      </c>
      <c r="F10" s="11">
        <f>_xll.MLR_FORE($C$3:$D$22,$C$1:$D$1,$E$3:$E$22,,$C10:$D10,1,$Y$13)</f>
        <v>2559.5634095634091</v>
      </c>
      <c r="G10" s="11">
        <f>_xll.MLR_FORE($C$3:$D$22,$C$1:$D$1,$E$3:$E$22,,$C10:$D10,4,$Y$13)</f>
        <v>1846.3723424719342</v>
      </c>
      <c r="H10" s="11">
        <f>_xll.MLR_FORE($C$3:$D$22,$C$1:$D$1,$E$3:$E$22,,$C10:$D10,3,$Y$13)</f>
        <v>3272.754476654884</v>
      </c>
      <c r="I10" s="11">
        <f t="shared" si="0"/>
        <v>1426.3821341829498</v>
      </c>
      <c r="J10" s="11"/>
      <c r="L10" s="14" t="s">
        <v>16</v>
      </c>
      <c r="M10" s="16">
        <f>_xll.MLR_GOF($C$3:$D$22,[1]Data!$C$1:$D$1,$E$3:$E$22,,6)</f>
        <v>272.60081057257861</v>
      </c>
    </row>
    <row r="11" spans="2:25" x14ac:dyDescent="0.25">
      <c r="B11" s="9">
        <v>9</v>
      </c>
      <c r="C11" s="9">
        <v>112</v>
      </c>
      <c r="D11" s="9">
        <v>23</v>
      </c>
      <c r="E11" s="10">
        <v>3625</v>
      </c>
      <c r="F11" s="11">
        <f>_xll.MLR_FORE($C$3:$D$22,$C$1:$D$1,$E$3:$E$22,,$C11:$D11,1,$Y$13)</f>
        <v>3047.0893970893967</v>
      </c>
      <c r="G11" s="11">
        <f>_xll.MLR_FORE($C$3:$D$22,$C$1:$D$1,$E$3:$E$22,,$C11:$D11,4,$Y$13)</f>
        <v>2379.7300774048335</v>
      </c>
      <c r="H11" s="11">
        <f>_xll.MLR_FORE($C$3:$D$22,$C$1:$D$1,$E$3:$E$22,,$C11:$D11,3,$Y$13)</f>
        <v>3714.4487167739599</v>
      </c>
      <c r="I11" s="11">
        <f t="shared" si="0"/>
        <v>1334.7186393691263</v>
      </c>
      <c r="J11" s="11"/>
      <c r="L11" s="17" t="s">
        <v>17</v>
      </c>
      <c r="M11" s="18">
        <f>_xll.MV_OBS($C$3:$D$22,[1]Data!$C$1:$D$1,$E$3:$E$22)</f>
        <v>19</v>
      </c>
    </row>
    <row r="12" spans="2:25" x14ac:dyDescent="0.25">
      <c r="B12" s="19">
        <v>10</v>
      </c>
      <c r="C12" s="19">
        <v>109</v>
      </c>
      <c r="D12" s="19">
        <v>28</v>
      </c>
      <c r="E12" s="20">
        <v>3525</v>
      </c>
      <c r="F12" s="21">
        <f>_xll.MLR_FORE($C$3:$D$22,$C$1:$D$1,$E$3:$E$22,,$C12:$D12,1,$Y$13)</f>
        <v>3395.3222453222447</v>
      </c>
      <c r="G12" s="21">
        <f>_xll.MLR_FORE($C$3:$D$22,$C$1:$D$1,$E$3:$E$22,,$C12:$D12,4,$Y$13)</f>
        <v>2688.0621840466988</v>
      </c>
      <c r="H12" s="21">
        <f>_xll.MLR_FORE($C$3:$D$22,$C$1:$D$1,$E$3:$E$22,,$C12:$D12,3,$Y$13)</f>
        <v>4102.5823065977902</v>
      </c>
      <c r="I12" s="21">
        <f t="shared" si="0"/>
        <v>1414.5201225510914</v>
      </c>
      <c r="J12" s="11"/>
    </row>
    <row r="13" spans="2:25" ht="15.75" thickBot="1" x14ac:dyDescent="0.3">
      <c r="B13" s="9">
        <v>11</v>
      </c>
      <c r="C13" s="9">
        <v>130</v>
      </c>
      <c r="D13" s="9">
        <v>20</v>
      </c>
      <c r="E13" s="10">
        <v>3225</v>
      </c>
      <c r="F13" s="11">
        <f>_xll.MLR_FORE($C$3:$D$22,$C$1:$D$1,$E$3:$E$22,,$C13:$D13,1,$Y$13)</f>
        <v>2838.1496881496878</v>
      </c>
      <c r="G13" s="11">
        <f>_xll.MLR_FORE($C$3:$D$22,$C$1:$D$1,$E$3:$E$22,,$C13:$D13,4,$Y$13)</f>
        <v>2165.4857263615636</v>
      </c>
      <c r="H13" s="11">
        <f>_xll.MLR_FORE($C$3:$D$22,$C$1:$D$1,$E$3:$E$22,,$C13:$D13,3,$Y$13)</f>
        <v>3510.813649937812</v>
      </c>
      <c r="I13" s="11">
        <f t="shared" si="0"/>
        <v>1345.3279235762484</v>
      </c>
      <c r="J13" s="11"/>
      <c r="L13" s="8" t="s">
        <v>18</v>
      </c>
      <c r="R13" s="22">
        <f>0.05</f>
        <v>0.05</v>
      </c>
      <c r="U13" s="8" t="s">
        <v>19</v>
      </c>
      <c r="Y13" s="22">
        <f>0.05</f>
        <v>0.05</v>
      </c>
    </row>
    <row r="14" spans="2:25" ht="15.75" thickBot="1" x14ac:dyDescent="0.3">
      <c r="B14" s="9">
        <v>12</v>
      </c>
      <c r="C14" s="9">
        <v>104</v>
      </c>
      <c r="D14" s="9">
        <v>25</v>
      </c>
      <c r="E14" s="10">
        <v>3450</v>
      </c>
      <c r="F14" s="11">
        <f>_xll.MLR_FORE($C$3:$D$22,$C$1:$D$1,$E$3:$E$22,,$C14:$D14,1,$Y$13)</f>
        <v>3186.3825363825358</v>
      </c>
      <c r="G14" s="11">
        <f>_xll.MLR_FORE($C$3:$D$22,$C$1:$D$1,$E$3:$E$22,,$C14:$D14,4,$Y$13)</f>
        <v>2510.1403765266218</v>
      </c>
      <c r="H14" s="11">
        <f>_xll.MLR_FORE($C$3:$D$22,$C$1:$D$1,$E$3:$E$22,,$C14:$D14,3,$Y$13)</f>
        <v>3862.6246962384498</v>
      </c>
      <c r="I14" s="11">
        <f t="shared" si="0"/>
        <v>1352.484319711828</v>
      </c>
      <c r="J14" s="11"/>
      <c r="L14" s="13"/>
      <c r="M14" s="23" t="s">
        <v>20</v>
      </c>
      <c r="N14" s="23" t="s">
        <v>21</v>
      </c>
      <c r="O14" s="23" t="s">
        <v>22</v>
      </c>
      <c r="P14" s="23" t="s">
        <v>23</v>
      </c>
      <c r="Q14" s="23" t="s">
        <v>24</v>
      </c>
      <c r="R14" s="23" t="s">
        <v>25</v>
      </c>
      <c r="U14" s="24" t="s">
        <v>26</v>
      </c>
      <c r="V14" s="24" t="s">
        <v>27</v>
      </c>
      <c r="W14" s="24" t="s">
        <v>28</v>
      </c>
      <c r="X14" s="24" t="s">
        <v>29</v>
      </c>
      <c r="Y14" s="24" t="s">
        <v>30</v>
      </c>
    </row>
    <row r="15" spans="2:25" x14ac:dyDescent="0.25">
      <c r="B15" s="9">
        <v>13</v>
      </c>
      <c r="C15" s="9">
        <v>104</v>
      </c>
      <c r="D15" s="9">
        <v>20</v>
      </c>
      <c r="E15" s="10">
        <v>2425</v>
      </c>
      <c r="F15" s="11">
        <f>_xll.MLR_FORE($C$3:$D$22,$C$1:$D$1,$E$3:$E$22,,$C15:$D15,1,$Y$13)</f>
        <v>2838.1496881496878</v>
      </c>
      <c r="G15" s="11">
        <f>_xll.MLR_FORE($C$3:$D$22,$C$1:$D$1,$E$3:$E$22,,$C15:$D15,4,$Y$13)</f>
        <v>2165.4857263615636</v>
      </c>
      <c r="H15" s="11">
        <f>_xll.MLR_FORE($C$3:$D$22,$C$1:$D$1,$E$3:$E$22,,$C15:$D15,3,$Y$13)</f>
        <v>3510.813649937812</v>
      </c>
      <c r="I15" s="11">
        <f t="shared" si="0"/>
        <v>1345.3279235762484</v>
      </c>
      <c r="J15" s="11"/>
      <c r="L15" s="25" t="s">
        <v>31</v>
      </c>
      <c r="M15" s="26">
        <f>_xll.MV_VARS($C$3:$D$22,[1]Data!$C$1:$D$1)</f>
        <v>1</v>
      </c>
      <c r="N15" s="27">
        <f>_xll.MLR_ANOVA($C$3:$D$22,[1]Data!$C$1:$D$1,$E$3:$E$22,,1)</f>
        <v>1227978.9911368857</v>
      </c>
      <c r="O15" s="27">
        <f>_xll.MLR_ANOVA($C$3:$D$22,[1]Data!$C$1:$D$1,$E$3:$E$22,,4)</f>
        <v>1227978.9911368857</v>
      </c>
      <c r="P15" s="28">
        <f>$O$15/$O$16</f>
        <v>12.949453386048821</v>
      </c>
      <c r="Q15" s="29">
        <f>FDIST($P$15,$M$15,$M$16)</f>
        <v>2.215939556887874E-3</v>
      </c>
      <c r="R15" s="26" t="b">
        <f>($Q$15&lt;$R$13)</f>
        <v>1</v>
      </c>
      <c r="U15" s="30">
        <f>AVERAGE(_xll.RMNA(_xll.MLR_FITTED($C$3:$D$22,[1]Data!$C$1:$D$1,$E$3:$E$22,,3)))</f>
        <v>4.0589899571002834E-3</v>
      </c>
      <c r="V15" s="30">
        <f>STDEV(_xll.RMNA(_xll.MLR_FITTED($C$3:$D$22,[1]Data!$C$1:$D$1,$E$3:$E$22,,3)))</f>
        <v>1.0135939579630195</v>
      </c>
      <c r="W15" s="30">
        <f>SKEW(_xll.RMNA(_xll.MLR_FITTED($C$3:$D$22,[1]Data!$C$1:$D$1,$E$3:$E$22,,3)))</f>
        <v>0.16165129353511878</v>
      </c>
      <c r="X15" s="30">
        <f>KURT(_xll.RMNA(_xll.MLR_FITTED($C$3:$D$22,[1]Data!$C$1:$D$1,$E$3:$E$22,,3)))</f>
        <v>-0.91356845680051402</v>
      </c>
      <c r="Y15" s="30" t="b">
        <f>IF(_xll.NormalityTest(_xll.RMNA(_xll.MLR_FITTED($C$3:$D$22,[1]Data!$C$1:$D$1,$E$3:$E$22,,3)),1) &gt;$Y$13, TRUE, FALSE)</f>
        <v>1</v>
      </c>
    </row>
    <row r="16" spans="2:25" x14ac:dyDescent="0.25">
      <c r="B16" s="9">
        <v>14</v>
      </c>
      <c r="C16" s="9">
        <v>111</v>
      </c>
      <c r="D16" s="9">
        <v>26</v>
      </c>
      <c r="E16" s="10">
        <v>3025</v>
      </c>
      <c r="F16" s="11">
        <f>_xll.MLR_FORE($C$3:$D$22,$C$1:$D$1,$E$3:$E$22,,$C16:$D16,1,$Y$13)</f>
        <v>3256.0291060291056</v>
      </c>
      <c r="G16" s="11">
        <f>_xll.MLR_FORE($C$3:$D$22,$C$1:$D$1,$E$3:$E$22,,$C16:$D16,4,$Y$13)</f>
        <v>2571.7242578015625</v>
      </c>
      <c r="H16" s="11">
        <f>_xll.MLR_FORE($C$3:$D$22,$C$1:$D$1,$E$3:$E$22,,$C16:$D16,3,$Y$13)</f>
        <v>3940.3339542566487</v>
      </c>
      <c r="I16" s="11">
        <f t="shared" si="0"/>
        <v>1368.6096964550861</v>
      </c>
      <c r="J16" s="11"/>
      <c r="L16" s="25" t="s">
        <v>32</v>
      </c>
      <c r="M16" s="26">
        <f>$M$17-$M$15</f>
        <v>17</v>
      </c>
      <c r="N16" s="27">
        <f>_xll.MLR_ANOVA($C$3:$D$22,[1]Data!$C$1:$D$1,$E$3:$E$22,,2)</f>
        <v>1612086.7983367983</v>
      </c>
      <c r="O16" s="31">
        <f>_xll.MLR_ANOVA($C$3:$D$22,[1]Data!$C$1:$D$1,$E$3:$E$22,,5)</f>
        <v>94828.635196282252</v>
      </c>
      <c r="T16" s="32" t="s">
        <v>33</v>
      </c>
      <c r="U16" s="30">
        <v>0</v>
      </c>
      <c r="V16" s="30">
        <v>1</v>
      </c>
      <c r="W16" s="30">
        <v>0</v>
      </c>
      <c r="X16" s="30">
        <v>0</v>
      </c>
    </row>
    <row r="17" spans="1:24" x14ac:dyDescent="0.25">
      <c r="B17" s="9">
        <v>15</v>
      </c>
      <c r="C17" s="9">
        <v>97</v>
      </c>
      <c r="D17" s="9">
        <v>28</v>
      </c>
      <c r="E17" s="33">
        <v>3625</v>
      </c>
      <c r="F17" s="11">
        <f>_xll.MLR_FORE($C$3:$D$22,$C$1:$D$1,$E$3:$E$22,,$C17:$D17,1,$Y$13)</f>
        <v>3395.3222453222447</v>
      </c>
      <c r="G17" s="11">
        <f>_xll.MLR_FORE($C$3:$D$22,$C$1:$D$1,$E$3:$E$22,,$C17:$D17,4,$Y$13)</f>
        <v>2688.0621840466988</v>
      </c>
      <c r="H17" s="11">
        <f>_xll.MLR_FORE($C$3:$D$22,$C$1:$D$1,$E$3:$E$22,,$C17:$D17,3,$Y$13)</f>
        <v>4102.5823065977902</v>
      </c>
      <c r="I17" s="11">
        <f t="shared" si="0"/>
        <v>1414.5201225510914</v>
      </c>
      <c r="J17" s="34"/>
      <c r="L17" s="35" t="s">
        <v>34</v>
      </c>
      <c r="M17" s="36">
        <f>_xll.MV_OBS($C$3:$D$22,[1]Data!$C$1:$D$1,$E$3:$E$22) - 1</f>
        <v>18</v>
      </c>
      <c r="N17" s="18">
        <f>_xll.MLR_ANOVA($C$3:$D$22,[1]Data!$C$1:$D$1,$E$3:$E$22,,3)</f>
        <v>2840065.789473684</v>
      </c>
      <c r="O17" s="37"/>
      <c r="P17" s="37"/>
      <c r="Q17" s="37"/>
      <c r="R17" s="37"/>
      <c r="S17" s="37"/>
      <c r="T17" s="32" t="s">
        <v>25</v>
      </c>
      <c r="U17" s="9" t="b">
        <f>IF( _xll.TEST_MEAN(_xll.RMNA(_xll.MLR_FITTED($C$3:$D$22,[1]Data!$C$1:$D$1,$E$3:$E$22,,3)),U16) &gt;$Y$13/2, FALSE, TRUE)</f>
        <v>0</v>
      </c>
      <c r="V17" s="9" t="b">
        <f>IF( _xll.TEST_STDEV(_xll.RMNA(_xll.MLR_FITTED($C$3:$D$22,[1]Data!$C$1:$D$1,$E$3:$E$22,,3)),V16) &gt;$Y$13, FALSE, TRUE)</f>
        <v>0</v>
      </c>
      <c r="W17" s="9" t="b">
        <f>IF( _xll.TEST_SKEW(_xll.RMNA(_xll.MLR_FITTED($C$3:$D$22,[1]Data!$C$1:$D$1,$E$3:$E$22,,3))) &gt;$Y$13/2, FALSE, TRUE)</f>
        <v>0</v>
      </c>
      <c r="X17" s="9" t="b">
        <f>IF( _xll.TEST_XKURT(_xll.RMNA(_xll.MLR_FITTED($C$3:$D$22,[1]Data!$C$1:$D$1,$E$3:$E$22,,3))) &gt;$Y$13/2, FALSE, TRUE)</f>
        <v>0</v>
      </c>
    </row>
    <row r="18" spans="1:24" x14ac:dyDescent="0.25">
      <c r="A18">
        <v>2750</v>
      </c>
      <c r="B18" s="9">
        <v>16</v>
      </c>
      <c r="C18" s="9">
        <v>115</v>
      </c>
      <c r="D18" s="9">
        <v>29</v>
      </c>
      <c r="E18" s="33" t="e">
        <v>#N/A</v>
      </c>
      <c r="F18" s="11">
        <f>_xll.MLR_FORE($C$3:$D$22,$C$1:$D$1,$E$3:$E$22,,$C18:$D18,1,$Y$13)</f>
        <v>3464.9688149688145</v>
      </c>
      <c r="G18" s="11">
        <f>_xll.MLR_FORE($C$3:$D$22,$C$1:$D$1,$E$3:$E$22,,$C18:$D18,4,$Y$13)</f>
        <v>2743.0333630743062</v>
      </c>
      <c r="H18" s="11">
        <f>_xll.MLR_FORE($C$3:$D$22,$C$1:$D$1,$E$3:$E$22,,$C18:$D18,3,$Y$13)</f>
        <v>4186.9042668633228</v>
      </c>
      <c r="I18" s="11">
        <f t="shared" si="0"/>
        <v>1443.8709037890167</v>
      </c>
      <c r="J18" s="34"/>
    </row>
    <row r="19" spans="1:24" x14ac:dyDescent="0.25">
      <c r="B19" s="9">
        <v>17</v>
      </c>
      <c r="C19" s="9">
        <v>113</v>
      </c>
      <c r="D19" s="9">
        <v>25</v>
      </c>
      <c r="E19" s="10">
        <v>3150</v>
      </c>
      <c r="F19" s="11">
        <f>_xll.MLR_FORE($C$3:$D$22,$C$1:$D$1,$E$3:$E$22,,$C19:$D19,1,$Y$13)</f>
        <v>3186.3825363825358</v>
      </c>
      <c r="G19" s="11">
        <f>_xll.MLR_FORE($C$3:$D$22,$C$1:$D$1,$E$3:$E$22,,$C19:$D19,4,$Y$13)</f>
        <v>2510.1403765266218</v>
      </c>
      <c r="H19" s="11">
        <f>_xll.MLR_FORE($C$3:$D$22,$C$1:$D$1,$E$3:$E$22,,$C19:$D19,3,$Y$13)</f>
        <v>3862.6246962384498</v>
      </c>
      <c r="I19" s="11">
        <f t="shared" si="0"/>
        <v>1352.484319711828</v>
      </c>
      <c r="J19" s="11"/>
    </row>
    <row r="20" spans="1:24" ht="15.75" thickBot="1" x14ac:dyDescent="0.3">
      <c r="B20" s="9">
        <v>18</v>
      </c>
      <c r="C20" s="9">
        <v>88</v>
      </c>
      <c r="D20" s="9">
        <v>23</v>
      </c>
      <c r="E20" s="10">
        <v>2600</v>
      </c>
      <c r="F20" s="11">
        <f>_xll.MLR_FORE($C$3:$D$22,$C$1:$D$1,$E$3:$E$22,,$C20:$D20,1,$Y$13)</f>
        <v>3047.0893970893967</v>
      </c>
      <c r="G20" s="11">
        <f>_xll.MLR_FORE($C$3:$D$22,$C$1:$D$1,$E$3:$E$22,,$C20:$D20,4,$Y$13)</f>
        <v>2379.7300774048335</v>
      </c>
      <c r="H20" s="11">
        <f>_xll.MLR_FORE($C$3:$D$22,$C$1:$D$1,$E$3:$E$22,,$C20:$D20,3,$Y$13)</f>
        <v>3714.4487167739599</v>
      </c>
      <c r="I20" s="11">
        <f t="shared" si="0"/>
        <v>1334.7186393691263</v>
      </c>
      <c r="J20" s="11"/>
      <c r="L20" s="8" t="s">
        <v>35</v>
      </c>
      <c r="S20" s="22">
        <f>0.05</f>
        <v>0.05</v>
      </c>
      <c r="U20" s="8" t="s">
        <v>36</v>
      </c>
      <c r="X20" s="22">
        <f>0.05</f>
        <v>0.05</v>
      </c>
    </row>
    <row r="21" spans="1:24" x14ac:dyDescent="0.25">
      <c r="B21" s="9">
        <v>19</v>
      </c>
      <c r="C21" s="9">
        <v>108</v>
      </c>
      <c r="D21" s="9">
        <v>19</v>
      </c>
      <c r="E21" s="10">
        <v>2525</v>
      </c>
      <c r="F21" s="11">
        <f>_xll.MLR_FORE($C$3:$D$22,$C$1:$D$1,$E$3:$E$22,,$C21:$D21,1,$Y$13)</f>
        <v>2768.503118503118</v>
      </c>
      <c r="G21" s="11">
        <f>_xll.MLR_FORE($C$3:$D$22,$C$1:$D$1,$E$3:$E$22,,$C21:$D21,4,$Y$13)</f>
        <v>2089.1535687730948</v>
      </c>
      <c r="H21" s="11">
        <f>_xll.MLR_FORE($C$3:$D$22,$C$1:$D$1,$E$3:$E$22,,$C21:$D21,3,$Y$13)</f>
        <v>3447.8526682331412</v>
      </c>
      <c r="I21" s="11">
        <f t="shared" si="0"/>
        <v>1358.6990994600465</v>
      </c>
      <c r="J21" s="11"/>
      <c r="L21" s="13"/>
      <c r="M21" s="23" t="s">
        <v>37</v>
      </c>
      <c r="N21" s="23" t="s">
        <v>38</v>
      </c>
      <c r="O21" s="23" t="s">
        <v>39</v>
      </c>
      <c r="P21" s="23" t="s">
        <v>24</v>
      </c>
      <c r="Q21" s="23" t="s">
        <v>6</v>
      </c>
      <c r="R21" s="23" t="s">
        <v>7</v>
      </c>
      <c r="S21" s="23" t="s">
        <v>25</v>
      </c>
      <c r="U21" s="13"/>
      <c r="V21" s="23" t="s">
        <v>40</v>
      </c>
      <c r="W21" s="23" t="s">
        <v>41</v>
      </c>
      <c r="X21" s="23" t="s">
        <v>42</v>
      </c>
    </row>
    <row r="22" spans="1:24" ht="15.75" thickBot="1" x14ac:dyDescent="0.3">
      <c r="B22" s="9">
        <v>20</v>
      </c>
      <c r="C22" s="9">
        <v>101</v>
      </c>
      <c r="D22" s="9">
        <v>16</v>
      </c>
      <c r="E22" s="38">
        <v>2650</v>
      </c>
      <c r="F22" s="11">
        <f>_xll.MLR_FORE($C$3:$D$22,$C$1:$D$1,$E$3:$E$22,,$C22:$D22,1,$Y$13)</f>
        <v>2559.5634095634091</v>
      </c>
      <c r="G22" s="11">
        <f>_xll.MLR_FORE($C$3:$D$22,$C$1:$D$1,$E$3:$E$22,,$C22:$D22,4,$Y$13)</f>
        <v>1846.3723424719342</v>
      </c>
      <c r="H22" s="11">
        <f>_xll.MLR_FORE($C$3:$D$22,$C$1:$D$1,$E$3:$E$22,,$C22:$D22,3,$Y$13)</f>
        <v>3272.754476654884</v>
      </c>
      <c r="I22" s="11">
        <f t="shared" si="0"/>
        <v>1426.3821341829498</v>
      </c>
      <c r="J22" s="11"/>
      <c r="L22" s="39" t="s">
        <v>43</v>
      </c>
      <c r="M22" s="28">
        <f>_xll.MLR_PARAM($C$3:$D$22,[1]Data!$C$1:$D$1,$E$3:$E$22,,1,0)</f>
        <v>1445.218295218295</v>
      </c>
      <c r="N22" s="28">
        <f>_xll.MLR_PARAM($C$3:$D$22,[1]Data!$C$1:$D$1,$E$3:$E$22,,2,0)</f>
        <v>435.63236765694757</v>
      </c>
      <c r="O22" s="28">
        <f>_xll.MLR_PARAM($C$3:$D$22,[1]Data!$C$1:$D$1,$E$3:$E$22,,3,0)</f>
        <v>3.3175181701750356</v>
      </c>
      <c r="P22" s="29">
        <f>TDIST($O$22,18,1)</f>
        <v>1.9151227164734593E-3</v>
      </c>
      <c r="Q22" s="28">
        <f>_xll.MLR_PARAM($C$3:$D$22,[1]Data!$C$1:$D$1,$E$3:$E$22,,6,0,$S$20)</f>
        <v>526.11433972725581</v>
      </c>
      <c r="R22" s="28">
        <f>_xll.MLR_PARAM($C$3:$D$22,[1]Data!$C$1:$D$1,$E$3:$E$22,,5,0,$S$20)</f>
        <v>2364.3222507093342</v>
      </c>
      <c r="S22" s="26" t="b">
        <f>$P$22&lt;($S$20/2)</f>
        <v>1</v>
      </c>
      <c r="U22" s="39" t="s">
        <v>43</v>
      </c>
      <c r="V22" s="27">
        <v>1</v>
      </c>
      <c r="W22" s="27">
        <v>1</v>
      </c>
      <c r="X22" s="27">
        <v>1</v>
      </c>
    </row>
    <row r="23" spans="1:24" x14ac:dyDescent="0.25">
      <c r="L23" s="39" t="s">
        <v>2</v>
      </c>
      <c r="M23" s="28" t="e">
        <f>_xll.MLR_PARAM($C$3:$D$22,[1]Data!$C$1:$D$1,$E$3:$E$22,,1,1)</f>
        <v>#N/A</v>
      </c>
      <c r="N23" s="28" t="e">
        <f>_xll.MLR_PARAM($C$3:$D$22,[1]Data!$C$1:$D$1,$E$3:$E$22,,2,1)</f>
        <v>#N/A</v>
      </c>
      <c r="O23" s="28" t="e">
        <f>_xll.MLR_PARAM($C$3:$D$22,[1]Data!$C$1:$D$1,$E$3:$E$22,,3,1)</f>
        <v>#N/A</v>
      </c>
      <c r="P23" s="29" t="e">
        <f>TDIST($O$23,18,1)</f>
        <v>#N/A</v>
      </c>
      <c r="Q23" s="28" t="e">
        <f>_xll.MLR_PARAM($C$3:$D$22,[1]Data!$C$1:$D$1,$E$3:$E$22,,6,1,$S$20)</f>
        <v>#N/A</v>
      </c>
      <c r="R23" s="28" t="e">
        <f>_xll.MLR_PARAM($C$3:$D$22,[1]Data!$C$1:$D$1,$E$3:$E$22,,5,1,$S$20)</f>
        <v>#N/A</v>
      </c>
      <c r="S23" s="26" t="e">
        <f>$P$23&lt;($S$20/2)</f>
        <v>#N/A</v>
      </c>
      <c r="U23" s="39" t="s">
        <v>2</v>
      </c>
      <c r="V23" s="27">
        <f t="array" ref="V23:V24">_xll.MLR_STEPWISE($C$3:$D$22,[1]Data!$C$1:$D$1,$E$3:$E$22,,1)</f>
        <v>0</v>
      </c>
      <c r="W23" s="27">
        <f t="array" ref="W23:W24">_xll.MLR_STEPWISE($C$3:$D$22,[1]Data!$C$1:$D$1,$E$3:$E$22,,2)</f>
        <v>0</v>
      </c>
      <c r="X23" s="27">
        <f t="array" ref="X23:X24">_xll.MLR_STEPWISE($C$3:$D$22,[1]Data!$C$1:$D$1,$E$3:$E$22,,3)</f>
        <v>0</v>
      </c>
    </row>
    <row r="24" spans="1:24" x14ac:dyDescent="0.25">
      <c r="L24" s="17" t="s">
        <v>3</v>
      </c>
      <c r="M24" s="40">
        <f>_xll.MLR_PARAM($C$3:$D$22,[1]Data!$C$1:$D$1,$E$3:$E$22,,1,2)</f>
        <v>69.646569646569631</v>
      </c>
      <c r="N24" s="40">
        <f>_xll.MLR_PARAM($C$3:$D$22,[1]Data!$C$1:$D$1,$E$3:$E$22,,2,2)</f>
        <v>19.354145976296685</v>
      </c>
      <c r="O24" s="40">
        <f>_xll.MLR_PARAM($C$3:$D$22,[1]Data!$C$1:$D$1,$E$3:$E$22,,3,2)</f>
        <v>3.5985348943769897</v>
      </c>
      <c r="P24" s="41">
        <f>TDIST($O$24,18,1)</f>
        <v>1.0269409769284386E-3</v>
      </c>
      <c r="Q24" s="40">
        <f>_xll.MLR_PARAM($C$3:$D$22,[1]Data!$C$1:$D$1,$E$3:$E$22,,6,2,$S$20)</f>
        <v>28.812890970118858</v>
      </c>
      <c r="R24" s="40">
        <f>_xll.MLR_PARAM($C$3:$D$22,[1]Data!$C$1:$D$1,$E$3:$E$22,,5,2,$S$20)</f>
        <v>110.4802483230204</v>
      </c>
      <c r="S24" s="36" t="b">
        <f>$P$24&lt;($S$20/2)</f>
        <v>1</v>
      </c>
      <c r="U24" s="17" t="s">
        <v>3</v>
      </c>
      <c r="V24" s="18">
        <v>1</v>
      </c>
      <c r="W24" s="18">
        <v>1</v>
      </c>
      <c r="X24" s="18">
        <v>1</v>
      </c>
    </row>
    <row r="25" spans="1:24" x14ac:dyDescent="0.25">
      <c r="U25" s="39" t="s">
        <v>11</v>
      </c>
      <c r="V25" s="29">
        <f>_xll.MLR_GOF($C$3:$D$22,V$23:V$24,$E$3:$E$22,,1)</f>
        <v>0.43237695256505049</v>
      </c>
      <c r="W25" s="29">
        <f>_xll.MLR_GOF($C$3:$D$22,W$23:W$24,$E$3:$E$22,,1)</f>
        <v>0.43237695256505049</v>
      </c>
      <c r="X25" s="29">
        <f>_xll.MLR_GOF($C$3:$D$22,X$23:X$24,$E$3:$E$22,,1)</f>
        <v>0.43237695256505049</v>
      </c>
    </row>
    <row r="26" spans="1:24" x14ac:dyDescent="0.25">
      <c r="U26" s="39" t="s">
        <v>44</v>
      </c>
      <c r="V26" s="31">
        <f>_xll.MLR_GOF($C$3:$D$22,V$23:V$24,$E$3:$E$22,,3)</f>
        <v>307.94258425278281</v>
      </c>
      <c r="W26" s="31">
        <f>_xll.MLR_GOF($C$3:$D$22,W$23:W$24,$E$3:$E$22,,3)</f>
        <v>307.94258425278281</v>
      </c>
      <c r="X26" s="31">
        <f>_xll.MLR_GOF($C$3:$D$22,X$23:X$24,$E$3:$E$22,,3)</f>
        <v>307.94258425278281</v>
      </c>
    </row>
    <row r="27" spans="1:24" x14ac:dyDescent="0.25">
      <c r="U27" s="39" t="s">
        <v>15</v>
      </c>
      <c r="V27" s="31">
        <f>_xll.MLR_GOF($C$3:$D$22,V$23:V$24,$E$3:$E$22,,5)</f>
        <v>271.89166571105926</v>
      </c>
      <c r="W27" s="31">
        <f>_xll.MLR_GOF($C$3:$D$22,W$23:W$24,$E$3:$E$22,,5)</f>
        <v>271.89166571105926</v>
      </c>
      <c r="X27" s="31">
        <f>_xll.MLR_GOF($C$3:$D$22,X$23:X$24,$E$3:$E$22,,5)</f>
        <v>271.89166571105926</v>
      </c>
    </row>
    <row r="29" spans="1:24" ht="15.75" thickBot="1" x14ac:dyDescent="0.3">
      <c r="L29" s="8" t="s">
        <v>45</v>
      </c>
    </row>
    <row r="30" spans="1:24" ht="15.75" thickBot="1" x14ac:dyDescent="0.3">
      <c r="L30" s="24" t="s">
        <v>46</v>
      </c>
      <c r="M30" s="24" t="s">
        <v>47</v>
      </c>
      <c r="N30" s="24" t="s">
        <v>24</v>
      </c>
      <c r="O30" s="24" t="s">
        <v>48</v>
      </c>
      <c r="P30" s="42">
        <f>0.05</f>
        <v>0.05</v>
      </c>
    </row>
    <row r="31" spans="1:24" x14ac:dyDescent="0.25">
      <c r="L31" s="43">
        <f>_xll.ChowTest([1]Data!$E$3:$E$12,[1]Data!$C$3:$D$12,[1]Data!$E$13:$E$22,[1]Data!$C$13:$D$22,[1]Data!$C$1:$D$1,,2)</f>
        <v>0.24274956365900013</v>
      </c>
      <c r="M31" s="43">
        <f>FINV($P$30,2,16)</f>
        <v>3.6337234675916301</v>
      </c>
      <c r="N31" s="44">
        <f>_xll.ChowTest([1]Data!$E$3:$E$12,[1]Data!$C$3:$D$12,[1]Data!$E$13:$E$22,[1]Data!$C$13:$D$22,[1]Data!$C$1:$D$1,,1)</f>
        <v>0.21250939278018702</v>
      </c>
      <c r="O31" s="26" t="b">
        <f>IF($N31&gt;$P$30, TRUE, FALSE)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2013-05-21T20:02:09Z</dcterms:created>
  <dcterms:modified xsi:type="dcterms:W3CDTF">2013-05-21T20:02:31Z</dcterms:modified>
</cp:coreProperties>
</file>