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4675" windowHeight="1255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L24" i="1" l="1"/>
  <c r="M24" i="1" s="1"/>
  <c r="P24" i="1" s="1"/>
  <c r="K24" i="1"/>
  <c r="J24" i="1"/>
  <c r="L23" i="1"/>
  <c r="M23" i="1" s="1"/>
  <c r="P23" i="1" s="1"/>
  <c r="K23" i="1"/>
  <c r="J23" i="1"/>
  <c r="L22" i="1"/>
  <c r="M22" i="1" s="1"/>
  <c r="P22" i="1" s="1"/>
  <c r="K22" i="1"/>
  <c r="J22" i="1"/>
  <c r="P20" i="1"/>
  <c r="O23" i="1" s="1"/>
  <c r="K17" i="1"/>
  <c r="J17" i="1"/>
  <c r="J16" i="1" s="1"/>
  <c r="L16" i="1"/>
  <c r="K16" i="1"/>
  <c r="U15" i="1"/>
  <c r="T15" i="1"/>
  <c r="S15" i="1"/>
  <c r="R15" i="1"/>
  <c r="L15" i="1"/>
  <c r="M15" i="1" s="1"/>
  <c r="K15" i="1"/>
  <c r="J15" i="1"/>
  <c r="V13" i="1"/>
  <c r="S17" i="1" s="1"/>
  <c r="O13" i="1"/>
  <c r="J11" i="1"/>
  <c r="J10" i="1"/>
  <c r="J9" i="1"/>
  <c r="J8" i="1"/>
  <c r="J7" i="1"/>
  <c r="J6" i="1"/>
  <c r="J5" i="1"/>
  <c r="F3" i="1" a="1"/>
  <c r="F16" i="1" s="1"/>
  <c r="N15" i="1" l="1"/>
  <c r="O15" i="1" s="1"/>
  <c r="F18" i="1"/>
  <c r="V15" i="1"/>
  <c r="T17" i="1"/>
  <c r="O22" i="1"/>
  <c r="F9" i="1"/>
  <c r="F17" i="1"/>
  <c r="F19" i="1"/>
  <c r="U17" i="1"/>
  <c r="F20" i="1"/>
  <c r="F21" i="1"/>
  <c r="F10" i="1"/>
  <c r="F3" i="1"/>
  <c r="F11" i="1"/>
  <c r="F4" i="1"/>
  <c r="F12" i="1"/>
  <c r="F5" i="1"/>
  <c r="F13" i="1"/>
  <c r="F6" i="1"/>
  <c r="F14" i="1"/>
  <c r="F22" i="1"/>
  <c r="N24" i="1"/>
  <c r="R17" i="1"/>
  <c r="N23" i="1"/>
  <c r="O24" i="1"/>
  <c r="F7" i="1"/>
  <c r="F15" i="1"/>
  <c r="F8" i="1"/>
  <c r="N22" i="1"/>
</calcChain>
</file>

<file path=xl/sharedStrings.xml><?xml version="1.0" encoding="utf-8"?>
<sst xmlns="http://schemas.openxmlformats.org/spreadsheetml/2006/main" count="44" uniqueCount="39">
  <si>
    <t>Mask</t>
  </si>
  <si>
    <t>Sales Person</t>
  </si>
  <si>
    <t>Intelligence</t>
  </si>
  <si>
    <t>Extroversion</t>
  </si>
  <si>
    <t>$ Sales/Week</t>
  </si>
  <si>
    <t>Estimate</t>
  </si>
  <si>
    <t>Linear Regression Analysis</t>
  </si>
  <si>
    <t>Regression Statistics</t>
  </si>
  <si>
    <t>R Square</t>
  </si>
  <si>
    <t>Adjusted R Square</t>
  </si>
  <si>
    <t>Standard Error</t>
  </si>
  <si>
    <t>LLF</t>
  </si>
  <si>
    <t>AIC</t>
  </si>
  <si>
    <t>SBIC</t>
  </si>
  <si>
    <t>Observations</t>
  </si>
  <si>
    <t>ANOVA</t>
  </si>
  <si>
    <t>Residuals (standardized) Analysis</t>
  </si>
  <si>
    <t>df</t>
  </si>
  <si>
    <t>SS</t>
  </si>
  <si>
    <t>MS</t>
  </si>
  <si>
    <t>F</t>
  </si>
  <si>
    <t>P-Value</t>
  </si>
  <si>
    <t>SIG?</t>
  </si>
  <si>
    <t>AVG</t>
  </si>
  <si>
    <t>STDEV</t>
  </si>
  <si>
    <t>SKEW</t>
  </si>
  <si>
    <t>KURTOSIS</t>
  </si>
  <si>
    <t>Normal?</t>
  </si>
  <si>
    <t>Regression</t>
  </si>
  <si>
    <t>Residuals</t>
  </si>
  <si>
    <t>Target</t>
  </si>
  <si>
    <t>Total</t>
  </si>
  <si>
    <t>Regression Coefficients</t>
  </si>
  <si>
    <t>Value</t>
  </si>
  <si>
    <t>std. Error</t>
  </si>
  <si>
    <t>t-stat</t>
  </si>
  <si>
    <t>LL</t>
  </si>
  <si>
    <t>UL</t>
  </si>
  <si>
    <t>Intercept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</si>
</sst>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#0.0%"/>
    <numFmt numFmtId="166" formatCode="#0.00"/>
    <numFmt numFmtId="167" formatCode="#0"/>
    <numFmt numFmtId="168" formatCode="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C8A02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1" applyNumberFormat="1" applyFont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3" xfId="1" applyNumberFormat="1" applyFont="1" applyFill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0" fillId="0" borderId="5" xfId="0" applyBorder="1"/>
    <xf numFmtId="0" fontId="4" fillId="0" borderId="0" xfId="0" applyFont="1" applyBorder="1" applyAlignment="1">
      <alignment horizontal="right"/>
    </xf>
    <xf numFmtId="165" fontId="0" fillId="0" borderId="0" xfId="0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67" fontId="0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165" fontId="3" fillId="4" borderId="0" xfId="0" applyNumberFormat="1" applyFont="1" applyFill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7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164" fontId="0" fillId="0" borderId="0" xfId="1" applyNumberFormat="1" applyFont="1" applyFill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Border="1"/>
    <xf numFmtId="0" fontId="4" fillId="0" borderId="0" xfId="0" applyFont="1" applyAlignment="1">
      <alignment horizontal="right"/>
    </xf>
    <xf numFmtId="0" fontId="2" fillId="2" borderId="0" xfId="2" applyAlignment="1">
      <alignment horizontal="center"/>
    </xf>
    <xf numFmtId="166" fontId="0" fillId="0" borderId="6" xfId="0" applyNumberFormat="1" applyFon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</cellXfs>
  <cellStyles count="3">
    <cellStyle name="Bad" xfId="2" builtinId="27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[1]Intro!$E$2</c:f>
              <c:strCache>
                <c:ptCount val="1"/>
                <c:pt idx="0">
                  <c:v>$ Sales/Week</c:v>
                </c:pt>
              </c:strCache>
            </c:strRef>
          </c:tx>
          <c:marker>
            <c:symbol val="none"/>
          </c:marker>
          <c:val>
            <c:numRef>
              <c:f>[1]Intro!$E$3:$E$22</c:f>
              <c:numCache>
                <c:formatCode>_("$"* #,##0_);_("$"* \(#,##0\);_("$"* "-"??_);_(@_)</c:formatCode>
                <c:ptCount val="20"/>
                <c:pt idx="0">
                  <c:v>2625</c:v>
                </c:pt>
                <c:pt idx="1">
                  <c:v>2700</c:v>
                </c:pt>
                <c:pt idx="2">
                  <c:v>3100</c:v>
                </c:pt>
                <c:pt idx="3">
                  <c:v>3150</c:v>
                </c:pt>
                <c:pt idx="4">
                  <c:v>3175</c:v>
                </c:pt>
                <c:pt idx="5">
                  <c:v>3100</c:v>
                </c:pt>
                <c:pt idx="6">
                  <c:v>2700</c:v>
                </c:pt>
                <c:pt idx="7">
                  <c:v>2475</c:v>
                </c:pt>
                <c:pt idx="8">
                  <c:v>3625</c:v>
                </c:pt>
                <c:pt idx="9">
                  <c:v>3525</c:v>
                </c:pt>
                <c:pt idx="10">
                  <c:v>3225</c:v>
                </c:pt>
                <c:pt idx="11">
                  <c:v>3450</c:v>
                </c:pt>
                <c:pt idx="12">
                  <c:v>2425</c:v>
                </c:pt>
                <c:pt idx="13">
                  <c:v>3025</c:v>
                </c:pt>
                <c:pt idx="14">
                  <c:v>3625</c:v>
                </c:pt>
                <c:pt idx="15">
                  <c:v>2750</c:v>
                </c:pt>
                <c:pt idx="16">
                  <c:v>3150</c:v>
                </c:pt>
                <c:pt idx="17">
                  <c:v>2600</c:v>
                </c:pt>
                <c:pt idx="18">
                  <c:v>2525</c:v>
                </c:pt>
                <c:pt idx="19">
                  <c:v>2650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[1]Intro!$F$2</c:f>
              <c:strCache>
                <c:ptCount val="1"/>
                <c:pt idx="0">
                  <c:v>Estimate</c:v>
                </c:pt>
              </c:strCache>
            </c:strRef>
          </c:tx>
          <c:marker>
            <c:symbol val="none"/>
          </c:marker>
          <c:val>
            <c:numRef>
              <c:f>[1]Intro!$F$3:$F$22</c:f>
              <c:numCache>
                <c:formatCode>_("$"* #,##0_);_("$"* \(#,##0\);_("$"* "-"??_);_(@_)</c:formatCode>
                <c:ptCount val="20"/>
                <c:pt idx="0">
                  <c:v>2769.3780479160323</c:v>
                </c:pt>
                <c:pt idx="1">
                  <c:v>2951.3835991931091</c:v>
                </c:pt>
                <c:pt idx="2">
                  <c:v>2785.8178717361234</c:v>
                </c:pt>
                <c:pt idx="3">
                  <c:v>3140.0524100387943</c:v>
                </c:pt>
                <c:pt idx="4">
                  <c:v>3281.347564851003</c:v>
                </c:pt>
                <c:pt idx="5">
                  <c:v>2710.6711752896372</c:v>
                </c:pt>
                <c:pt idx="6">
                  <c:v>2743.9399860151784</c:v>
                </c:pt>
                <c:pt idx="7">
                  <c:v>2652.3534657486016</c:v>
                </c:pt>
                <c:pt idx="8">
                  <c:v>3057.8532909383403</c:v>
                </c:pt>
                <c:pt idx="9">
                  <c:v>3281.7367279363616</c:v>
                </c:pt>
                <c:pt idx="10">
                  <c:v>3056.685801682263</c:v>
                </c:pt>
                <c:pt idx="11">
                  <c:v>3091.5112647492401</c:v>
                </c:pt>
                <c:pt idx="12">
                  <c:v>2842.9680920210822</c:v>
                </c:pt>
                <c:pt idx="13">
                  <c:v>3198.7592826651894</c:v>
                </c:pt>
                <c:pt idx="14">
                  <c:v>3183.097785015817</c:v>
                </c:pt>
                <c:pt idx="15">
                  <c:v>3380.7648339422658</c:v>
                </c:pt>
                <c:pt idx="16">
                  <c:v>3165.4904719396491</c:v>
                </c:pt>
                <c:pt idx="17">
                  <c:v>2860.57540509725</c:v>
                </c:pt>
                <c:pt idx="18">
                  <c:v>2826.1391051156324</c:v>
                </c:pt>
                <c:pt idx="19">
                  <c:v>2619.4738181084199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962688"/>
        <c:axId val="401561216"/>
      </c:lineChart>
      <c:catAx>
        <c:axId val="182962688"/>
        <c:scaling>
          <c:orientation val="minMax"/>
        </c:scaling>
        <c:delete val="0"/>
        <c:axPos val="b"/>
        <c:majorTickMark val="out"/>
        <c:minorTickMark val="none"/>
        <c:tickLblPos val="nextTo"/>
        <c:crossAx val="401561216"/>
        <c:crosses val="autoZero"/>
        <c:auto val="1"/>
        <c:lblAlgn val="ctr"/>
        <c:lblOffset val="100"/>
        <c:noMultiLvlLbl val="0"/>
      </c:catAx>
      <c:valAx>
        <c:axId val="401561216"/>
        <c:scaling>
          <c:orientation val="minMax"/>
          <c:min val="2000"/>
        </c:scaling>
        <c:delete val="0"/>
        <c:axPos val="l"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1829626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24</xdr:row>
      <xdr:rowOff>9525</xdr:rowOff>
    </xdr:from>
    <xdr:to>
      <xdr:col>6</xdr:col>
      <xdr:colOff>571499</xdr:colOff>
      <xdr:row>38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umXL/My%20Box%20Files/Beta%20Support/NumXL%201.60%20Apache/Examples/Regression-full-examp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tepwise"/>
      <sheetName val="Influential Data"/>
      <sheetName val="Forecast"/>
      <sheetName val="Data"/>
      <sheetName val="Sheet1"/>
      <sheetName val="Sheet2"/>
    </sheetNames>
    <sheetDataSet>
      <sheetData sheetId="0">
        <row r="1">
          <cell r="C1">
            <v>1</v>
          </cell>
          <cell r="D1">
            <v>1</v>
          </cell>
        </row>
        <row r="2">
          <cell r="E2" t="str">
            <v>$ Sales/Week</v>
          </cell>
          <cell r="F2" t="str">
            <v>Estimate</v>
          </cell>
        </row>
        <row r="3">
          <cell r="E3">
            <v>2625</v>
          </cell>
          <cell r="F3">
            <v>2769.3780479160323</v>
          </cell>
        </row>
        <row r="4">
          <cell r="E4">
            <v>2700</v>
          </cell>
          <cell r="F4">
            <v>2951.3835991931091</v>
          </cell>
        </row>
        <row r="5">
          <cell r="E5">
            <v>3100</v>
          </cell>
          <cell r="F5">
            <v>2785.8178717361234</v>
          </cell>
        </row>
        <row r="6">
          <cell r="E6">
            <v>3150</v>
          </cell>
          <cell r="F6">
            <v>3140.0524100387943</v>
          </cell>
        </row>
        <row r="7">
          <cell r="E7">
            <v>3175</v>
          </cell>
          <cell r="F7">
            <v>3281.347564851003</v>
          </cell>
        </row>
        <row r="8">
          <cell r="E8">
            <v>3100</v>
          </cell>
          <cell r="F8">
            <v>2710.6711752896372</v>
          </cell>
        </row>
        <row r="9">
          <cell r="E9">
            <v>2700</v>
          </cell>
          <cell r="F9">
            <v>2743.9399860151784</v>
          </cell>
        </row>
        <row r="10">
          <cell r="E10">
            <v>2475</v>
          </cell>
          <cell r="F10">
            <v>2652.3534657486016</v>
          </cell>
        </row>
        <row r="11">
          <cell r="E11">
            <v>3625</v>
          </cell>
          <cell r="F11">
            <v>3057.8532909383403</v>
          </cell>
        </row>
        <row r="12">
          <cell r="E12">
            <v>3525</v>
          </cell>
          <cell r="F12">
            <v>3281.7367279363616</v>
          </cell>
        </row>
        <row r="13">
          <cell r="E13">
            <v>3225</v>
          </cell>
          <cell r="F13">
            <v>3056.685801682263</v>
          </cell>
        </row>
        <row r="14">
          <cell r="E14">
            <v>3450</v>
          </cell>
          <cell r="F14">
            <v>3091.5112647492401</v>
          </cell>
        </row>
        <row r="15">
          <cell r="E15">
            <v>2425</v>
          </cell>
          <cell r="F15">
            <v>2842.9680920210822</v>
          </cell>
        </row>
        <row r="16">
          <cell r="E16">
            <v>3025</v>
          </cell>
          <cell r="F16">
            <v>3198.7592826651894</v>
          </cell>
        </row>
        <row r="17">
          <cell r="E17">
            <v>3625</v>
          </cell>
          <cell r="F17">
            <v>3183.097785015817</v>
          </cell>
        </row>
        <row r="18">
          <cell r="E18">
            <v>2750</v>
          </cell>
          <cell r="F18">
            <v>3380.7648339422658</v>
          </cell>
        </row>
        <row r="19">
          <cell r="E19">
            <v>3150</v>
          </cell>
          <cell r="F19">
            <v>3165.4904719396491</v>
          </cell>
        </row>
        <row r="20">
          <cell r="E20">
            <v>2600</v>
          </cell>
          <cell r="F20">
            <v>2860.57540509725</v>
          </cell>
        </row>
        <row r="21">
          <cell r="E21">
            <v>2525</v>
          </cell>
          <cell r="F21">
            <v>2826.1391051156324</v>
          </cell>
        </row>
        <row r="22">
          <cell r="E22">
            <v>2650</v>
          </cell>
          <cell r="F22">
            <v>2619.4738181084199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4"/>
  <sheetViews>
    <sheetView tabSelected="1" workbookViewId="0">
      <selection activeCell="K35" sqref="K35"/>
    </sheetView>
  </sheetViews>
  <sheetFormatPr defaultRowHeight="15" x14ac:dyDescent="0.25"/>
  <cols>
    <col min="2" max="2" width="13.140625" customWidth="1"/>
    <col min="3" max="3" width="14.42578125" customWidth="1"/>
    <col min="4" max="4" width="15.140625" customWidth="1"/>
    <col min="5" max="6" width="15.5703125" customWidth="1"/>
  </cols>
  <sheetData>
    <row r="1" spans="2:22" ht="15.75" thickBot="1" x14ac:dyDescent="0.3">
      <c r="B1" s="1" t="s">
        <v>0</v>
      </c>
      <c r="C1" s="2">
        <v>1</v>
      </c>
      <c r="D1" s="2">
        <v>1</v>
      </c>
    </row>
    <row r="2" spans="2:22" ht="15.75" thickBot="1" x14ac:dyDescent="0.3"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I2" s="5" t="s">
        <v>6</v>
      </c>
    </row>
    <row r="3" spans="2:22" ht="15.75" thickBot="1" x14ac:dyDescent="0.3">
      <c r="B3" s="1">
        <v>1</v>
      </c>
      <c r="C3" s="1">
        <v>89</v>
      </c>
      <c r="D3" s="1">
        <v>21</v>
      </c>
      <c r="E3" s="6">
        <v>2625</v>
      </c>
      <c r="F3" s="7">
        <f t="array" ref="F3:F22">_xll.MLR_FITTED($C$3:$D$22,$C$1:$D$1,$E$3:$E$22,,1)</f>
        <v>2769.3780479160323</v>
      </c>
    </row>
    <row r="4" spans="2:22" x14ac:dyDescent="0.25">
      <c r="B4" s="1">
        <v>2</v>
      </c>
      <c r="C4" s="1">
        <v>93</v>
      </c>
      <c r="D4" s="1">
        <v>24</v>
      </c>
      <c r="E4" s="6">
        <v>2700</v>
      </c>
      <c r="F4" s="7">
        <v>2951.3835991931091</v>
      </c>
      <c r="I4" s="10" t="s">
        <v>7</v>
      </c>
      <c r="J4" s="11"/>
    </row>
    <row r="5" spans="2:22" x14ac:dyDescent="0.25">
      <c r="B5" s="1">
        <v>3</v>
      </c>
      <c r="C5" s="1">
        <v>91</v>
      </c>
      <c r="D5" s="1">
        <v>21</v>
      </c>
      <c r="E5" s="6">
        <v>3100</v>
      </c>
      <c r="F5" s="7">
        <v>2785.8178717361234</v>
      </c>
      <c r="I5" s="12" t="s">
        <v>8</v>
      </c>
      <c r="J5" s="13">
        <f>_xll.MLR_GOF($C$3:$D$22,[1]Intro!$C$1:$D$1,$E$3:$E$22,,1)</f>
        <v>0.35264314057326285</v>
      </c>
    </row>
    <row r="6" spans="2:22" x14ac:dyDescent="0.25">
      <c r="B6" s="1">
        <v>4</v>
      </c>
      <c r="C6" s="1">
        <v>122</v>
      </c>
      <c r="D6" s="1">
        <v>23</v>
      </c>
      <c r="E6" s="6">
        <v>3150</v>
      </c>
      <c r="F6" s="7">
        <v>3140.0524100387943</v>
      </c>
      <c r="I6" s="12" t="s">
        <v>9</v>
      </c>
      <c r="J6" s="13">
        <f>_xll.MLR_GOF($C$3:$D$22,[1]Intro!$C$1:$D$1,$E$3:$E$22,,2)</f>
        <v>0.27648351005247029</v>
      </c>
    </row>
    <row r="7" spans="2:22" x14ac:dyDescent="0.25">
      <c r="B7" s="1">
        <v>5</v>
      </c>
      <c r="C7" s="1">
        <v>115</v>
      </c>
      <c r="D7" s="1">
        <v>27</v>
      </c>
      <c r="E7" s="6">
        <v>3175</v>
      </c>
      <c r="F7" s="7">
        <v>3281.347564851003</v>
      </c>
      <c r="I7" s="12" t="s">
        <v>10</v>
      </c>
      <c r="J7" s="14">
        <f>_xll.MLR_GOF($C$3:$D$22,[1]Intro!$C$1:$D$1,$E$3:$E$22,,3)</f>
        <v>332.06870530101537</v>
      </c>
    </row>
    <row r="8" spans="2:22" x14ac:dyDescent="0.25">
      <c r="B8" s="1">
        <v>6</v>
      </c>
      <c r="C8" s="1">
        <v>100</v>
      </c>
      <c r="D8" s="1">
        <v>18</v>
      </c>
      <c r="E8" s="6">
        <v>3100</v>
      </c>
      <c r="F8" s="7">
        <v>2710.6711752896372</v>
      </c>
      <c r="I8" s="12" t="s">
        <v>11</v>
      </c>
      <c r="J8" s="14">
        <f>_xll.MLR_GOF($C$3:$D$22,[1]Intro!$C$1:$D$1,$E$3:$E$22,,4)</f>
        <v>-142.98560848778058</v>
      </c>
    </row>
    <row r="9" spans="2:22" x14ac:dyDescent="0.25">
      <c r="B9" s="1">
        <v>7</v>
      </c>
      <c r="C9" s="1">
        <v>98</v>
      </c>
      <c r="D9" s="1">
        <v>19</v>
      </c>
      <c r="E9" s="6">
        <v>2700</v>
      </c>
      <c r="F9" s="7">
        <v>2743.9399860151784</v>
      </c>
      <c r="I9" s="12" t="s">
        <v>12</v>
      </c>
      <c r="J9" s="14">
        <f>_xll.MLR_GOF($C$3:$D$22,[1]Intro!$C$1:$D$1,$E$3:$E$22,,5)</f>
        <v>290.67709932850232</v>
      </c>
    </row>
    <row r="10" spans="2:22" x14ac:dyDescent="0.25">
      <c r="B10" s="1">
        <v>8</v>
      </c>
      <c r="C10" s="1">
        <v>105</v>
      </c>
      <c r="D10" s="1">
        <v>16</v>
      </c>
      <c r="E10" s="6">
        <v>2475</v>
      </c>
      <c r="F10" s="7">
        <v>2652.3534657486016</v>
      </c>
      <c r="I10" s="12" t="s">
        <v>13</v>
      </c>
      <c r="J10" s="14">
        <f>_xll.MLR_GOF($C$3:$D$22,[1]Intro!$C$1:$D$1,$E$3:$E$22,,6)</f>
        <v>291.96268152266913</v>
      </c>
    </row>
    <row r="11" spans="2:22" x14ac:dyDescent="0.25">
      <c r="B11" s="1">
        <v>9</v>
      </c>
      <c r="C11" s="1">
        <v>112</v>
      </c>
      <c r="D11" s="1">
        <v>23</v>
      </c>
      <c r="E11" s="6">
        <v>3625</v>
      </c>
      <c r="F11" s="7">
        <v>3057.8532909383403</v>
      </c>
      <c r="I11" s="15" t="s">
        <v>14</v>
      </c>
      <c r="J11" s="16">
        <f>_xll.MV_OBS($C$3:$D$22,[1]Intro!$C$1:$D$1,$E$3:$E$22)</f>
        <v>20</v>
      </c>
    </row>
    <row r="12" spans="2:22" x14ac:dyDescent="0.25">
      <c r="B12" s="17">
        <v>10</v>
      </c>
      <c r="C12" s="17">
        <v>109</v>
      </c>
      <c r="D12" s="17">
        <v>28</v>
      </c>
      <c r="E12" s="18">
        <v>3525</v>
      </c>
      <c r="F12" s="7">
        <v>3281.7367279363616</v>
      </c>
    </row>
    <row r="13" spans="2:22" ht="15.75" thickBot="1" x14ac:dyDescent="0.3">
      <c r="B13" s="1">
        <v>11</v>
      </c>
      <c r="C13" s="1">
        <v>130</v>
      </c>
      <c r="D13" s="1">
        <v>20</v>
      </c>
      <c r="E13" s="6">
        <v>3225</v>
      </c>
      <c r="F13" s="7">
        <v>3056.685801682263</v>
      </c>
      <c r="I13" s="5" t="s">
        <v>15</v>
      </c>
      <c r="O13" s="19">
        <f>0.05</f>
        <v>0.05</v>
      </c>
      <c r="R13" s="5" t="s">
        <v>16</v>
      </c>
      <c r="V13" s="19">
        <f>0.05</f>
        <v>0.05</v>
      </c>
    </row>
    <row r="14" spans="2:22" ht="15.75" thickBot="1" x14ac:dyDescent="0.3">
      <c r="B14" s="1">
        <v>12</v>
      </c>
      <c r="C14" s="1">
        <v>104</v>
      </c>
      <c r="D14" s="1">
        <v>25</v>
      </c>
      <c r="E14" s="6">
        <v>3450</v>
      </c>
      <c r="F14" s="7">
        <v>3091.5112647492401</v>
      </c>
      <c r="I14" s="11"/>
      <c r="J14" s="20" t="s">
        <v>17</v>
      </c>
      <c r="K14" s="20" t="s">
        <v>18</v>
      </c>
      <c r="L14" s="20" t="s">
        <v>19</v>
      </c>
      <c r="M14" s="20" t="s">
        <v>20</v>
      </c>
      <c r="N14" s="20" t="s">
        <v>21</v>
      </c>
      <c r="O14" s="20" t="s">
        <v>22</v>
      </c>
      <c r="R14" s="21" t="s">
        <v>23</v>
      </c>
      <c r="S14" s="21" t="s">
        <v>24</v>
      </c>
      <c r="T14" s="21" t="s">
        <v>25</v>
      </c>
      <c r="U14" s="21" t="s">
        <v>26</v>
      </c>
      <c r="V14" s="21" t="s">
        <v>27</v>
      </c>
    </row>
    <row r="15" spans="2:22" x14ac:dyDescent="0.25">
      <c r="B15" s="1">
        <v>13</v>
      </c>
      <c r="C15" s="1">
        <v>104</v>
      </c>
      <c r="D15" s="1">
        <v>20</v>
      </c>
      <c r="E15" s="6">
        <v>2425</v>
      </c>
      <c r="F15" s="7">
        <v>2842.9680920210822</v>
      </c>
      <c r="I15" s="22" t="s">
        <v>28</v>
      </c>
      <c r="J15" s="23">
        <f>_xll.MV_VARS($C$3:$D$22,[1]Intro!$C$1:$D$1)</f>
        <v>2</v>
      </c>
      <c r="K15" s="24">
        <f>_xll.MLR_ANOVA($C$3:$D$22,[1]Intro!$C$1:$D$1,$E$3:$E$22,,1)</f>
        <v>1021166.374315026</v>
      </c>
      <c r="L15" s="25">
        <f>_xll.MLR_ANOVA($C$3:$D$22,[1]Intro!$C$1:$D$1,$E$3:$E$22,,4)</f>
        <v>510583.18715751299</v>
      </c>
      <c r="M15" s="26">
        <f>$L$15/$L$16</f>
        <v>4.6303158006653744</v>
      </c>
      <c r="N15" s="27">
        <f>FDIST($M$15,$J$15,$J$16)</f>
        <v>2.4815436023247376E-2</v>
      </c>
      <c r="O15" s="23" t="b">
        <f>($N$15&lt;$O$13)</f>
        <v>1</v>
      </c>
      <c r="R15" s="28">
        <f>AVERAGE(_xll.RMNA(_xll.MLR_FITTED($C$3:$D$22,[1]Intro!$C$1:$D$1,$E$3:$E$22,,3)))</f>
        <v>-4.8953925230353569E-4</v>
      </c>
      <c r="S15" s="28">
        <f>STDEV(_xll.RMNA(_xll.MLR_FITTED($C$3:$D$22,[1]Intro!$C$1:$D$1,$E$3:$E$22,,3)))</f>
        <v>1.023568300917717</v>
      </c>
      <c r="T15" s="28">
        <f>SKEW(_xll.RMNA(_xll.MLR_FITTED($C$3:$D$22,[1]Intro!$C$1:$D$1,$E$3:$E$22,,3)))</f>
        <v>-2.4252892627174283E-2</v>
      </c>
      <c r="U15" s="28">
        <f>KURT(_xll.RMNA(_xll.MLR_FITTED($C$3:$D$22,[1]Intro!$C$1:$D$1,$E$3:$E$22,,3)))</f>
        <v>-0.49375620415341448</v>
      </c>
      <c r="V15" s="28" t="b">
        <f>IF(_xll.NormalityTest(_xll.RMNA(_xll.MLR_FITTED($C$3:$D$22,[1]Intro!$C$1:$D$1,$E$3:$E$22,,3)),1) &gt;$V$13, TRUE, FALSE)</f>
        <v>1</v>
      </c>
    </row>
    <row r="16" spans="2:22" x14ac:dyDescent="0.25">
      <c r="B16" s="1">
        <v>14</v>
      </c>
      <c r="C16" s="1">
        <v>111</v>
      </c>
      <c r="D16" s="1">
        <v>26</v>
      </c>
      <c r="E16" s="6">
        <v>3025</v>
      </c>
      <c r="F16" s="7">
        <v>3198.7592826651894</v>
      </c>
      <c r="I16" s="22" t="s">
        <v>29</v>
      </c>
      <c r="J16" s="23">
        <f>$J$17-$J$15</f>
        <v>17</v>
      </c>
      <c r="K16" s="24">
        <f>_xll.MLR_ANOVA($C$3:$D$22,[1]Intro!$C$1:$D$1,$E$3:$E$22,,2)</f>
        <v>1874583.625684974</v>
      </c>
      <c r="L16" s="25">
        <f>_xll.MLR_ANOVA($C$3:$D$22,[1]Intro!$C$1:$D$1,$E$3:$E$22,,5)</f>
        <v>110269.62504029259</v>
      </c>
      <c r="Q16" s="29" t="s">
        <v>30</v>
      </c>
      <c r="R16" s="28">
        <v>0</v>
      </c>
      <c r="S16" s="28">
        <v>1</v>
      </c>
      <c r="T16" s="28">
        <v>0</v>
      </c>
      <c r="U16" s="28">
        <v>0</v>
      </c>
    </row>
    <row r="17" spans="2:21" x14ac:dyDescent="0.25">
      <c r="B17" s="1">
        <v>15</v>
      </c>
      <c r="C17" s="1">
        <v>97</v>
      </c>
      <c r="D17" s="1">
        <v>28</v>
      </c>
      <c r="E17" s="30">
        <v>3625</v>
      </c>
      <c r="F17" s="8">
        <v>3183.097785015817</v>
      </c>
      <c r="I17" s="31" t="s">
        <v>31</v>
      </c>
      <c r="J17" s="32">
        <f>_xll.MV_OBS($C$3:$D$22,[1]Intro!$C$1:$D$1,$E$3:$E$22) - 1</f>
        <v>19</v>
      </c>
      <c r="K17" s="16">
        <f>_xll.MLR_ANOVA($C$3:$D$22,[1]Intro!$C$1:$D$1,$E$3:$E$22,,3)</f>
        <v>2895750</v>
      </c>
      <c r="L17" s="33"/>
      <c r="M17" s="33"/>
      <c r="N17" s="33"/>
      <c r="O17" s="33"/>
      <c r="P17" s="33"/>
      <c r="Q17" s="29" t="s">
        <v>22</v>
      </c>
      <c r="R17" s="1" t="b">
        <f>IF( _xll.TEST_MEAN(_xll.RMNA(_xll.MLR_FITTED($C$3:$D$22,[1]Intro!$C$1:$D$1,$E$3:$E$22,,3)),R16) &gt;$V$13/2, FALSE, TRUE)</f>
        <v>0</v>
      </c>
      <c r="S17" s="1" t="b">
        <f>IF( _xll.TEST_STDEV(_xll.RMNA(_xll.MLR_FITTED($C$3:$D$22,[1]Intro!$C$1:$D$1,$E$3:$E$22,,3)),S16) &gt;$V$13, FALSE, TRUE)</f>
        <v>0</v>
      </c>
      <c r="T17" s="1" t="b">
        <f>IF( _xll.TEST_SKEW(_xll.RMNA(_xll.MLR_FITTED($C$3:$D$22,[1]Intro!$C$1:$D$1,$E$3:$E$22,,3))) &gt;$V$13/2, FALSE, TRUE)</f>
        <v>0</v>
      </c>
      <c r="U17" s="1" t="b">
        <f>IF( _xll.TEST_XKURT(_xll.RMNA(_xll.MLR_FITTED($C$3:$D$22,[1]Intro!$C$1:$D$1,$E$3:$E$22,,3))) &gt;$V$13/2, FALSE, TRUE)</f>
        <v>0</v>
      </c>
    </row>
    <row r="18" spans="2:21" x14ac:dyDescent="0.25">
      <c r="B18" s="1">
        <v>16</v>
      </c>
      <c r="C18" s="1">
        <v>115</v>
      </c>
      <c r="D18" s="1">
        <v>29</v>
      </c>
      <c r="E18" s="30">
        <v>2750</v>
      </c>
      <c r="F18" s="8">
        <v>3380.7648339422658</v>
      </c>
    </row>
    <row r="19" spans="2:21" x14ac:dyDescent="0.25">
      <c r="B19" s="1">
        <v>17</v>
      </c>
      <c r="C19" s="1">
        <v>113</v>
      </c>
      <c r="D19" s="1">
        <v>25</v>
      </c>
      <c r="E19" s="6">
        <v>3150</v>
      </c>
      <c r="F19" s="7">
        <v>3165.4904719396491</v>
      </c>
    </row>
    <row r="20" spans="2:21" ht="15.75" thickBot="1" x14ac:dyDescent="0.3">
      <c r="B20" s="1">
        <v>18</v>
      </c>
      <c r="C20" s="1">
        <v>88</v>
      </c>
      <c r="D20" s="1">
        <v>23</v>
      </c>
      <c r="E20" s="6">
        <v>2600</v>
      </c>
      <c r="F20" s="7">
        <v>2860.57540509725</v>
      </c>
      <c r="I20" s="5" t="s">
        <v>32</v>
      </c>
      <c r="P20" s="19">
        <f>0.05</f>
        <v>0.05</v>
      </c>
    </row>
    <row r="21" spans="2:21" x14ac:dyDescent="0.25">
      <c r="B21" s="1">
        <v>19</v>
      </c>
      <c r="C21" s="1">
        <v>108</v>
      </c>
      <c r="D21" s="1">
        <v>19</v>
      </c>
      <c r="E21" s="6">
        <v>2525</v>
      </c>
      <c r="F21" s="7">
        <v>2826.1391051156324</v>
      </c>
      <c r="I21" s="11"/>
      <c r="J21" s="20" t="s">
        <v>33</v>
      </c>
      <c r="K21" s="20" t="s">
        <v>34</v>
      </c>
      <c r="L21" s="20" t="s">
        <v>35</v>
      </c>
      <c r="M21" s="20" t="s">
        <v>21</v>
      </c>
      <c r="N21" s="20" t="s">
        <v>36</v>
      </c>
      <c r="O21" s="20" t="s">
        <v>37</v>
      </c>
      <c r="P21" s="20" t="s">
        <v>22</v>
      </c>
    </row>
    <row r="22" spans="2:21" ht="15.75" thickBot="1" x14ac:dyDescent="0.3">
      <c r="B22" s="1">
        <v>20</v>
      </c>
      <c r="C22" s="1">
        <v>101</v>
      </c>
      <c r="D22" s="1">
        <v>16</v>
      </c>
      <c r="E22" s="6">
        <v>2650</v>
      </c>
      <c r="F22" s="9">
        <v>2619.4738181084199</v>
      </c>
      <c r="I22" s="34" t="s">
        <v>38</v>
      </c>
      <c r="J22" s="26">
        <f>_xll.MLR_PARAM($C$3:$D$22,[1]Intro!$C$1:$D$1,$E$3:$E$22,,1,0)</f>
        <v>993.92456246372842</v>
      </c>
      <c r="K22" s="26">
        <f>_xll.MLR_PARAM($C$3:$D$22,[1]Intro!$C$1:$D$1,$E$3:$E$22,,2,0)</f>
        <v>788.09860538114503</v>
      </c>
      <c r="L22" s="26">
        <f>_xll.MLR_PARAM($C$3:$D$22,[1]Intro!$C$1:$D$1,$E$3:$E$22,,3,0)</f>
        <v>1.2611677722523573</v>
      </c>
      <c r="M22" s="27">
        <f>TDIST($L$22,18,1)</f>
        <v>0.11167481037388115</v>
      </c>
      <c r="N22" s="26">
        <f>_xll.MLR_PARAM($C$3:$D$22,[1]Intro!$C$1:$D$1,$E$3:$E$22,,6,0,$P$20)</f>
        <v>-668.81815203812414</v>
      </c>
      <c r="O22" s="26">
        <f>_xll.MLR_PARAM($C$3:$D$22,[1]Intro!$C$1:$D$1,$E$3:$E$22,,5,0,$P$20)</f>
        <v>2656.6672769655811</v>
      </c>
      <c r="P22" s="35" t="b">
        <f>$M$22&lt;($P$20/2)</f>
        <v>0</v>
      </c>
    </row>
    <row r="23" spans="2:21" x14ac:dyDescent="0.25">
      <c r="I23" s="34" t="s">
        <v>2</v>
      </c>
      <c r="J23" s="26">
        <f>_xll.MLR_PARAM($C$3:$D$22,[1]Intro!$C$1:$D$1,$E$3:$E$22,,1,1)</f>
        <v>8.2199119100454112</v>
      </c>
      <c r="K23" s="26">
        <f>_xll.MLR_PARAM($C$3:$D$22,[1]Intro!$C$1:$D$1,$E$3:$E$22,,2,1)</f>
        <v>7.0125599193382744</v>
      </c>
      <c r="L23" s="26">
        <f>_xll.MLR_PARAM($C$3:$D$22,[1]Intro!$C$1:$D$1,$E$3:$E$22,,3,1)</f>
        <v>1.1721699357431039</v>
      </c>
      <c r="M23" s="27">
        <f>TDIST($L$23,18,1)</f>
        <v>0.12820499648886513</v>
      </c>
      <c r="N23" s="26">
        <f>_xll.MLR_PARAM($C$3:$D$22,[1]Intro!$C$1:$D$1,$E$3:$E$22,,6,1,$P$20)</f>
        <v>-6.5752962482640349</v>
      </c>
      <c r="O23" s="26">
        <f>_xll.MLR_PARAM($C$3:$D$22,[1]Intro!$C$1:$D$1,$E$3:$E$22,,5,1,$P$20)</f>
        <v>23.015120068354857</v>
      </c>
      <c r="P23" s="35" t="b">
        <f>$M$23&lt;($P$20/2)</f>
        <v>0</v>
      </c>
    </row>
    <row r="24" spans="2:21" x14ac:dyDescent="0.25">
      <c r="I24" s="15" t="s">
        <v>3</v>
      </c>
      <c r="J24" s="36">
        <f>_xll.MLR_PARAM($C$3:$D$22,[1]Intro!$C$1:$D$1,$E$3:$E$22,,1,2)</f>
        <v>49.708634545631554</v>
      </c>
      <c r="K24" s="36">
        <f>_xll.MLR_PARAM($C$3:$D$22,[1]Intro!$C$1:$D$1,$E$3:$E$22,,2,2)</f>
        <v>19.633742371067584</v>
      </c>
      <c r="L24" s="36">
        <f>_xll.MLR_PARAM($C$3:$D$22,[1]Intro!$C$1:$D$1,$E$3:$E$22,,3,2)</f>
        <v>2.5317962111432477</v>
      </c>
      <c r="M24" s="37">
        <f>TDIST($L$24,18,1)</f>
        <v>1.0439344767576868E-2</v>
      </c>
      <c r="N24" s="36">
        <f>_xll.MLR_PARAM($C$3:$D$22,[1]Intro!$C$1:$D$1,$E$3:$E$22,,6,2,$P$20)</f>
        <v>8.2850590399871038</v>
      </c>
      <c r="O24" s="36">
        <f>_xll.MLR_PARAM($C$3:$D$22,[1]Intro!$C$1:$D$1,$E$3:$E$22,,5,2,$P$20)</f>
        <v>91.132210051276004</v>
      </c>
      <c r="P24" s="32" t="b">
        <f>$M$24&lt;($P$20/2)</f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2013-05-21T19:58:33Z</dcterms:created>
  <dcterms:modified xsi:type="dcterms:W3CDTF">2013-05-21T19:59:14Z</dcterms:modified>
</cp:coreProperties>
</file>