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4675" windowHeight="12495" activeTab="1"/>
  </bookViews>
  <sheets>
    <sheet name="Overview" sheetId="3" r:id="rId1"/>
    <sheet name="Analysis" sheetId="1" r:id="rId2"/>
    <sheet name="Modeling" sheetId="2" r:id="rId3"/>
  </sheets>
  <definedNames>
    <definedName name="solver_adj" localSheetId="1" hidden="1">Analysis!#REF!</definedName>
    <definedName name="solver_adj" localSheetId="2" hidden="1">Modeling!$H$25:$H$28</definedName>
    <definedName name="solver_cvg" localSheetId="1" hidden="1">0.0001</definedName>
    <definedName name="solver_cvg" localSheetId="2" hidden="1">0.0001</definedName>
    <definedName name="solver_drv" localSheetId="1" hidden="1">1</definedName>
    <definedName name="solver_drv" localSheetId="2" hidden="1">1</definedName>
    <definedName name="solver_eng" localSheetId="1" hidden="1">1</definedName>
    <definedName name="solver_eng" localSheetId="2" hidden="1">1</definedName>
    <definedName name="solver_est" localSheetId="1" hidden="1">1</definedName>
    <definedName name="solver_est" localSheetId="2" hidden="1">1</definedName>
    <definedName name="solver_itr" localSheetId="1" hidden="1">100</definedName>
    <definedName name="solver_itr" localSheetId="2" hidden="1">100</definedName>
    <definedName name="solver_lhs1" localSheetId="1" hidden="1">Analysis!#REF!</definedName>
    <definedName name="solver_lhs1" localSheetId="2" hidden="1">Modeling!$L$25</definedName>
    <definedName name="solver_lin" localSheetId="1" hidden="1">2</definedName>
    <definedName name="solver_lin" localSheetId="2" hidden="1">2</definedName>
    <definedName name="solver_mip" localSheetId="1" hidden="1">2147483647</definedName>
    <definedName name="solver_mip" localSheetId="2" hidden="1">2147483647</definedName>
    <definedName name="solver_mni" localSheetId="1" hidden="1">30</definedName>
    <definedName name="solver_mni" localSheetId="2" hidden="1">30</definedName>
    <definedName name="solver_mrt" localSheetId="1" hidden="1">0.075</definedName>
    <definedName name="solver_mrt" localSheetId="2" hidden="1">0.075</definedName>
    <definedName name="solver_msl" localSheetId="1" hidden="1">2</definedName>
    <definedName name="solver_msl" localSheetId="2" hidden="1">2</definedName>
    <definedName name="solver_neg" localSheetId="1" hidden="1">2</definedName>
    <definedName name="solver_neg" localSheetId="2" hidden="1">2</definedName>
    <definedName name="solver_nod" localSheetId="1" hidden="1">2147483647</definedName>
    <definedName name="solver_nod" localSheetId="2" hidden="1">2147483647</definedName>
    <definedName name="solver_num" localSheetId="1" hidden="1">1</definedName>
    <definedName name="solver_num" localSheetId="2" hidden="1">1</definedName>
    <definedName name="solver_nwt" localSheetId="1" hidden="1">1</definedName>
    <definedName name="solver_nwt" localSheetId="2" hidden="1">1</definedName>
    <definedName name="solver_opt" localSheetId="1" hidden="1">Analysis!#REF!</definedName>
    <definedName name="solver_opt" localSheetId="2" hidden="1">Modeling!$J$25</definedName>
    <definedName name="solver_pre" localSheetId="1" hidden="1">0.000001</definedName>
    <definedName name="solver_pre" localSheetId="2" hidden="1">0.000001</definedName>
    <definedName name="solver_rbv" localSheetId="1" hidden="1">1</definedName>
    <definedName name="solver_rbv" localSheetId="2" hidden="1">1</definedName>
    <definedName name="solver_rel1" localSheetId="1" hidden="1">3</definedName>
    <definedName name="solver_rel1" localSheetId="2" hidden="1">3</definedName>
    <definedName name="solver_rhs1" localSheetId="1" hidden="1">0.99999</definedName>
    <definedName name="solver_rhs1" localSheetId="2" hidden="1">0.99999</definedName>
    <definedName name="solver_rlx" localSheetId="1" hidden="1">1</definedName>
    <definedName name="solver_rlx" localSheetId="2" hidden="1">1</definedName>
    <definedName name="solver_rsd" localSheetId="1" hidden="1">0</definedName>
    <definedName name="solver_rsd" localSheetId="2" hidden="1">0</definedName>
    <definedName name="solver_scl" localSheetId="1" hidden="1">1</definedName>
    <definedName name="solver_scl" localSheetId="2" hidden="1">1</definedName>
    <definedName name="solver_sho" localSheetId="1" hidden="1">2</definedName>
    <definedName name="solver_sho" localSheetId="2" hidden="1">2</definedName>
    <definedName name="solver_ssz" localSheetId="1" hidden="1">100</definedName>
    <definedName name="solver_ssz" localSheetId="2" hidden="1">100</definedName>
    <definedName name="solver_tim" localSheetId="1" hidden="1">100</definedName>
    <definedName name="solver_tim" localSheetId="2" hidden="1">100</definedName>
    <definedName name="solver_tol" localSheetId="1" hidden="1">0.05</definedName>
    <definedName name="solver_tol" localSheetId="2" hidden="1">0.05</definedName>
    <definedName name="solver_typ" localSheetId="1" hidden="1">1</definedName>
    <definedName name="solver_typ" localSheetId="2" hidden="1">1</definedName>
    <definedName name="solver_val" localSheetId="1" hidden="1">0</definedName>
    <definedName name="solver_val" localSheetId="2" hidden="1">0</definedName>
    <definedName name="solver_ver" localSheetId="1" hidden="1">3</definedName>
    <definedName name="solver_ver" localSheetId="2" hidden="1">3</definedName>
  </definedNames>
  <calcPr calcId="145621"/>
</workbook>
</file>

<file path=xl/calcChain.xml><?xml version="1.0" encoding="utf-8"?>
<calcChain xmlns="http://schemas.openxmlformats.org/spreadsheetml/2006/main">
  <c r="N5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2" i="1"/>
  <c r="N20" i="1"/>
  <c r="K25" i="2"/>
  <c r="T25" i="2"/>
  <c r="R25" i="2"/>
  <c r="R27" i="2"/>
  <c r="Q25" i="2"/>
  <c r="Q27" i="2"/>
  <c r="P25" i="2"/>
  <c r="P27" i="2"/>
  <c r="O25" i="2"/>
  <c r="O27" i="2"/>
  <c r="L25" i="2"/>
  <c r="U25" i="2"/>
  <c r="J25" i="2"/>
  <c r="S25" i="2"/>
  <c r="M139" i="1"/>
  <c r="K138" i="1"/>
  <c r="I137" i="1"/>
  <c r="M135" i="1"/>
  <c r="K134" i="1"/>
  <c r="I133" i="1"/>
  <c r="M131" i="1"/>
  <c r="K130" i="1"/>
  <c r="I129" i="1"/>
  <c r="M127" i="1"/>
  <c r="K126" i="1"/>
  <c r="I125" i="1"/>
  <c r="M123" i="1"/>
  <c r="K122" i="1"/>
  <c r="I121" i="1"/>
  <c r="M119" i="1"/>
  <c r="K118" i="1"/>
  <c r="I117" i="1"/>
  <c r="L139" i="1"/>
  <c r="J138" i="1"/>
  <c r="H137" i="1"/>
  <c r="L135" i="1"/>
  <c r="J134" i="1"/>
  <c r="H133" i="1"/>
  <c r="L131" i="1"/>
  <c r="J130" i="1"/>
  <c r="H129" i="1"/>
  <c r="L127" i="1"/>
  <c r="J126" i="1"/>
  <c r="H125" i="1"/>
  <c r="L123" i="1"/>
  <c r="J122" i="1"/>
  <c r="H121" i="1"/>
  <c r="L119" i="1"/>
  <c r="J118" i="1"/>
  <c r="H117" i="1"/>
  <c r="K139" i="1"/>
  <c r="I138" i="1"/>
  <c r="M136" i="1"/>
  <c r="K135" i="1"/>
  <c r="I134" i="1"/>
  <c r="M132" i="1"/>
  <c r="K131" i="1"/>
  <c r="I130" i="1"/>
  <c r="M128" i="1"/>
  <c r="K127" i="1"/>
  <c r="I126" i="1"/>
  <c r="M124" i="1"/>
  <c r="K123" i="1"/>
  <c r="I122" i="1"/>
  <c r="M120" i="1"/>
  <c r="K119" i="1"/>
  <c r="I118" i="1"/>
  <c r="M116" i="1"/>
  <c r="J139" i="1"/>
  <c r="H138" i="1"/>
  <c r="L136" i="1"/>
  <c r="J135" i="1"/>
  <c r="H134" i="1"/>
  <c r="L132" i="1"/>
  <c r="J131" i="1"/>
  <c r="H130" i="1"/>
  <c r="L128" i="1"/>
  <c r="J127" i="1"/>
  <c r="H126" i="1"/>
  <c r="L124" i="1"/>
  <c r="J123" i="1"/>
  <c r="H122" i="1"/>
  <c r="J119" i="1"/>
  <c r="H118" i="1"/>
  <c r="L116" i="1"/>
  <c r="I139" i="1"/>
  <c r="M137" i="1"/>
  <c r="K136" i="1"/>
  <c r="I135" i="1"/>
  <c r="K132" i="1"/>
  <c r="I131" i="1"/>
  <c r="K128" i="1"/>
  <c r="I127" i="1"/>
  <c r="K124" i="1"/>
  <c r="M121" i="1"/>
  <c r="I119" i="1"/>
  <c r="K116" i="1"/>
  <c r="L137" i="1"/>
  <c r="H135" i="1"/>
  <c r="L133" i="1"/>
  <c r="H131" i="1"/>
  <c r="J128" i="1"/>
  <c r="L125" i="1"/>
  <c r="H123" i="1"/>
  <c r="J120" i="1"/>
  <c r="L117" i="1"/>
  <c r="M138" i="1"/>
  <c r="I136" i="1"/>
  <c r="K133" i="1"/>
  <c r="M130" i="1"/>
  <c r="I128" i="1"/>
  <c r="K125" i="1"/>
  <c r="M122" i="1"/>
  <c r="I120" i="1"/>
  <c r="K117" i="1"/>
  <c r="L138" i="1"/>
  <c r="H136" i="1"/>
  <c r="J133" i="1"/>
  <c r="L130" i="1"/>
  <c r="H128" i="1"/>
  <c r="J125" i="1"/>
  <c r="L122" i="1"/>
  <c r="H120" i="1"/>
  <c r="J117" i="1"/>
  <c r="L120" i="1"/>
  <c r="M133" i="1"/>
  <c r="M129" i="1"/>
  <c r="M125" i="1"/>
  <c r="I123" i="1"/>
  <c r="K120" i="1"/>
  <c r="M117" i="1"/>
  <c r="H139" i="1"/>
  <c r="J136" i="1"/>
  <c r="J132" i="1"/>
  <c r="L129" i="1"/>
  <c r="H127" i="1"/>
  <c r="J124" i="1"/>
  <c r="L121" i="1"/>
  <c r="H119" i="1"/>
  <c r="J116" i="1"/>
  <c r="K137" i="1"/>
  <c r="M134" i="1"/>
  <c r="I132" i="1"/>
  <c r="K129" i="1"/>
  <c r="M126" i="1"/>
  <c r="I124" i="1"/>
  <c r="K121" i="1"/>
  <c r="M118" i="1"/>
  <c r="I116" i="1"/>
  <c r="J137" i="1"/>
  <c r="L134" i="1"/>
  <c r="H132" i="1"/>
  <c r="J129" i="1"/>
  <c r="L126" i="1"/>
  <c r="H124" i="1"/>
  <c r="J121" i="1"/>
  <c r="L118" i="1"/>
  <c r="H116" i="1"/>
  <c r="E2" i="1" a="1"/>
  <c r="D2" i="1" a="1"/>
  <c r="M67" i="1"/>
  <c r="H69" i="1"/>
  <c r="M88" i="1"/>
  <c r="I82" i="1"/>
  <c r="I78" i="1"/>
  <c r="I74" i="1"/>
  <c r="I70" i="1"/>
  <c r="L72" i="1"/>
  <c r="H90" i="1"/>
  <c r="L88" i="1"/>
  <c r="J87" i="1"/>
  <c r="H86" i="1"/>
  <c r="L84" i="1"/>
  <c r="J83" i="1"/>
  <c r="H82" i="1"/>
  <c r="L80" i="1"/>
  <c r="J79" i="1"/>
  <c r="H78" i="1"/>
  <c r="L76" i="1"/>
  <c r="J71" i="1"/>
  <c r="H70" i="1"/>
  <c r="M89" i="1"/>
  <c r="K88" i="1"/>
  <c r="I87" i="1"/>
  <c r="M85" i="1"/>
  <c r="K84" i="1"/>
  <c r="I83" i="1"/>
  <c r="M81" i="1"/>
  <c r="K80" i="1"/>
  <c r="I79" i="1"/>
  <c r="M77" i="1"/>
  <c r="K76" i="1"/>
  <c r="I75" i="1"/>
  <c r="M73" i="1"/>
  <c r="K72" i="1"/>
  <c r="I71" i="1"/>
  <c r="M69" i="1"/>
  <c r="K68" i="1"/>
  <c r="I67" i="1"/>
  <c r="J77" i="1"/>
  <c r="J73" i="1"/>
  <c r="L70" i="1"/>
  <c r="H68" i="1"/>
  <c r="I89" i="1"/>
  <c r="I85" i="1"/>
  <c r="K82" i="1"/>
  <c r="M79" i="1"/>
  <c r="I77" i="1"/>
  <c r="K74" i="1"/>
  <c r="K70" i="1"/>
  <c r="J90" i="1"/>
  <c r="L87" i="1"/>
  <c r="L83" i="1"/>
  <c r="H81" i="1"/>
  <c r="J78" i="1"/>
  <c r="L75" i="1"/>
  <c r="H73" i="1"/>
  <c r="J70" i="1"/>
  <c r="I90" i="1"/>
  <c r="I86" i="1"/>
  <c r="K83" i="1"/>
  <c r="K79" i="1"/>
  <c r="K75" i="1"/>
  <c r="M72" i="1"/>
  <c r="M68" i="1"/>
  <c r="J75" i="1"/>
  <c r="L68" i="1"/>
  <c r="L89" i="1"/>
  <c r="J88" i="1"/>
  <c r="H87" i="1"/>
  <c r="L85" i="1"/>
  <c r="J84" i="1"/>
  <c r="H83" i="1"/>
  <c r="L81" i="1"/>
  <c r="J80" i="1"/>
  <c r="H79" i="1"/>
  <c r="L77" i="1"/>
  <c r="J76" i="1"/>
  <c r="H75" i="1"/>
  <c r="L73" i="1"/>
  <c r="J72" i="1"/>
  <c r="H71" i="1"/>
  <c r="L69" i="1"/>
  <c r="J68" i="1"/>
  <c r="H67" i="1"/>
  <c r="M90" i="1"/>
  <c r="K89" i="1"/>
  <c r="I88" i="1"/>
  <c r="M86" i="1"/>
  <c r="K85" i="1"/>
  <c r="I84" i="1"/>
  <c r="M82" i="1"/>
  <c r="K81" i="1"/>
  <c r="I80" i="1"/>
  <c r="M78" i="1"/>
  <c r="K77" i="1"/>
  <c r="I76" i="1"/>
  <c r="M74" i="1"/>
  <c r="K73" i="1"/>
  <c r="I72" i="1"/>
  <c r="M70" i="1"/>
  <c r="K69" i="1"/>
  <c r="I68" i="1"/>
  <c r="L90" i="1"/>
  <c r="J89" i="1"/>
  <c r="H88" i="1"/>
  <c r="L86" i="1"/>
  <c r="J85" i="1"/>
  <c r="H84" i="1"/>
  <c r="L82" i="1"/>
  <c r="J81" i="1"/>
  <c r="H80" i="1"/>
  <c r="L78" i="1"/>
  <c r="H76" i="1"/>
  <c r="L74" i="1"/>
  <c r="H72" i="1"/>
  <c r="J69" i="1"/>
  <c r="K90" i="1"/>
  <c r="M87" i="1"/>
  <c r="K86" i="1"/>
  <c r="M83" i="1"/>
  <c r="I81" i="1"/>
  <c r="K78" i="1"/>
  <c r="M75" i="1"/>
  <c r="I73" i="1"/>
  <c r="M71" i="1"/>
  <c r="I69" i="1"/>
  <c r="H89" i="1"/>
  <c r="J86" i="1"/>
  <c r="H85" i="1"/>
  <c r="J82" i="1"/>
  <c r="L79" i="1"/>
  <c r="H77" i="1"/>
  <c r="J74" i="1"/>
  <c r="L71" i="1"/>
  <c r="L67" i="1"/>
  <c r="K87" i="1"/>
  <c r="M84" i="1"/>
  <c r="M80" i="1"/>
  <c r="M76" i="1"/>
  <c r="K71" i="1"/>
  <c r="K67" i="1"/>
  <c r="H74" i="1"/>
  <c r="J67" i="1"/>
  <c r="L57" i="1"/>
  <c r="I61" i="1"/>
  <c r="I60" i="1"/>
  <c r="Q55" i="1"/>
  <c r="L56" i="1"/>
  <c r="I59" i="1"/>
  <c r="I57" i="1"/>
  <c r="Q54" i="1"/>
  <c r="L54" i="1"/>
  <c r="I56" i="1"/>
  <c r="I55" i="1"/>
  <c r="Q53" i="1"/>
  <c r="I63" i="1"/>
  <c r="I54" i="1"/>
  <c r="I62" i="1"/>
  <c r="I23" i="1"/>
  <c r="L22" i="1"/>
  <c r="I30" i="1"/>
  <c r="I31" i="1"/>
  <c r="L25" i="1"/>
  <c r="I29" i="1"/>
  <c r="I28" i="1"/>
  <c r="Q23" i="1"/>
  <c r="L24" i="1"/>
  <c r="I27" i="1"/>
  <c r="I25" i="1"/>
  <c r="Q22" i="1"/>
  <c r="I24" i="1"/>
  <c r="Q21" i="1"/>
  <c r="I22" i="1"/>
  <c r="E9" i="1" l="1"/>
  <c r="E17" i="1"/>
  <c r="E25" i="1"/>
  <c r="E33" i="1"/>
  <c r="E41" i="1"/>
  <c r="E49" i="1"/>
  <c r="E57" i="1"/>
  <c r="E65" i="1"/>
  <c r="E73" i="1"/>
  <c r="E81" i="1"/>
  <c r="E89" i="1"/>
  <c r="E97" i="1"/>
  <c r="E105" i="1"/>
  <c r="E113" i="1"/>
  <c r="E121" i="1"/>
  <c r="E129" i="1"/>
  <c r="E137" i="1"/>
  <c r="E145" i="1"/>
  <c r="E2" i="1"/>
  <c r="E10" i="1"/>
  <c r="E18" i="1"/>
  <c r="E26" i="1"/>
  <c r="E34" i="1"/>
  <c r="E42" i="1"/>
  <c r="E50" i="1"/>
  <c r="E58" i="1"/>
  <c r="E66" i="1"/>
  <c r="E74" i="1"/>
  <c r="E82" i="1"/>
  <c r="E90" i="1"/>
  <c r="E98" i="1"/>
  <c r="E106" i="1"/>
  <c r="E114" i="1"/>
  <c r="E122" i="1"/>
  <c r="E130" i="1"/>
  <c r="E138" i="1"/>
  <c r="E3" i="1"/>
  <c r="E11" i="1"/>
  <c r="E19" i="1"/>
  <c r="E27" i="1"/>
  <c r="E35" i="1"/>
  <c r="E43" i="1"/>
  <c r="E51" i="1"/>
  <c r="E59" i="1"/>
  <c r="E67" i="1"/>
  <c r="E75" i="1"/>
  <c r="E83" i="1"/>
  <c r="E91" i="1"/>
  <c r="E99" i="1"/>
  <c r="E107" i="1"/>
  <c r="E115" i="1"/>
  <c r="E123" i="1"/>
  <c r="E131" i="1"/>
  <c r="E139" i="1"/>
  <c r="E4" i="1"/>
  <c r="E12" i="1"/>
  <c r="E20" i="1"/>
  <c r="E28" i="1"/>
  <c r="E36" i="1"/>
  <c r="E44" i="1"/>
  <c r="E52" i="1"/>
  <c r="E60" i="1"/>
  <c r="E68" i="1"/>
  <c r="E76" i="1"/>
  <c r="E84" i="1"/>
  <c r="E92" i="1"/>
  <c r="E100" i="1"/>
  <c r="E108" i="1"/>
  <c r="E116" i="1"/>
  <c r="E124" i="1"/>
  <c r="E132" i="1"/>
  <c r="E140" i="1"/>
  <c r="E5" i="1"/>
  <c r="E13" i="1"/>
  <c r="E21" i="1"/>
  <c r="E29" i="1"/>
  <c r="E37" i="1"/>
  <c r="E45" i="1"/>
  <c r="E53" i="1"/>
  <c r="E61" i="1"/>
  <c r="E69" i="1"/>
  <c r="E77" i="1"/>
  <c r="E85" i="1"/>
  <c r="E93" i="1"/>
  <c r="E6" i="1"/>
  <c r="E24" i="1"/>
  <c r="E47" i="1"/>
  <c r="E70" i="1"/>
  <c r="E88" i="1"/>
  <c r="E109" i="1"/>
  <c r="E125" i="1"/>
  <c r="E141" i="1"/>
  <c r="E7" i="1"/>
  <c r="E30" i="1"/>
  <c r="E48" i="1"/>
  <c r="E71" i="1"/>
  <c r="E94" i="1"/>
  <c r="E110" i="1"/>
  <c r="E126" i="1"/>
  <c r="E142" i="1"/>
  <c r="E8" i="1"/>
  <c r="E31" i="1"/>
  <c r="E54" i="1"/>
  <c r="E72" i="1"/>
  <c r="E95" i="1"/>
  <c r="E111" i="1"/>
  <c r="E127" i="1"/>
  <c r="E143" i="1"/>
  <c r="E14" i="1"/>
  <c r="E32" i="1"/>
  <c r="E55" i="1"/>
  <c r="E78" i="1"/>
  <c r="E96" i="1"/>
  <c r="E112" i="1"/>
  <c r="E128" i="1"/>
  <c r="E144" i="1"/>
  <c r="E15" i="1"/>
  <c r="E38" i="1"/>
  <c r="E56" i="1"/>
  <c r="E79" i="1"/>
  <c r="E101" i="1"/>
  <c r="E117" i="1"/>
  <c r="E133" i="1"/>
  <c r="E16" i="1"/>
  <c r="E39" i="1"/>
  <c r="E62" i="1"/>
  <c r="E80" i="1"/>
  <c r="E102" i="1"/>
  <c r="E118" i="1"/>
  <c r="E134" i="1"/>
  <c r="E22" i="1"/>
  <c r="E40" i="1"/>
  <c r="E63" i="1"/>
  <c r="E86" i="1"/>
  <c r="E103" i="1"/>
  <c r="E119" i="1"/>
  <c r="E135" i="1"/>
  <c r="E23" i="1"/>
  <c r="E46" i="1"/>
  <c r="E64" i="1"/>
  <c r="E87" i="1"/>
  <c r="E104" i="1"/>
  <c r="E120" i="1"/>
  <c r="E136" i="1"/>
  <c r="D9" i="1"/>
  <c r="D17" i="1"/>
  <c r="D25" i="1"/>
  <c r="D33" i="1"/>
  <c r="D41" i="1"/>
  <c r="D49" i="1"/>
  <c r="D57" i="1"/>
  <c r="D65" i="1"/>
  <c r="D73" i="1"/>
  <c r="D81" i="1"/>
  <c r="D89" i="1"/>
  <c r="D97" i="1"/>
  <c r="D105" i="1"/>
  <c r="D113" i="1"/>
  <c r="D121" i="1"/>
  <c r="D129" i="1"/>
  <c r="D137" i="1"/>
  <c r="D145" i="1"/>
  <c r="D2" i="1"/>
  <c r="D10" i="1"/>
  <c r="D18" i="1"/>
  <c r="D26" i="1"/>
  <c r="D34" i="1"/>
  <c r="D42" i="1"/>
  <c r="D50" i="1"/>
  <c r="D58" i="1"/>
  <c r="D66" i="1"/>
  <c r="D74" i="1"/>
  <c r="D82" i="1"/>
  <c r="D90" i="1"/>
  <c r="D98" i="1"/>
  <c r="D106" i="1"/>
  <c r="D114" i="1"/>
  <c r="D122" i="1"/>
  <c r="D130" i="1"/>
  <c r="D138" i="1"/>
  <c r="D3" i="1"/>
  <c r="D11" i="1"/>
  <c r="D19" i="1"/>
  <c r="D27" i="1"/>
  <c r="D35" i="1"/>
  <c r="D43" i="1"/>
  <c r="D51" i="1"/>
  <c r="D59" i="1"/>
  <c r="D67" i="1"/>
  <c r="D75" i="1"/>
  <c r="D83" i="1"/>
  <c r="D91" i="1"/>
  <c r="D99" i="1"/>
  <c r="D107" i="1"/>
  <c r="D115" i="1"/>
  <c r="D123" i="1"/>
  <c r="D131" i="1"/>
  <c r="D139" i="1"/>
  <c r="D4" i="1"/>
  <c r="D12" i="1"/>
  <c r="D20" i="1"/>
  <c r="D28" i="1"/>
  <c r="D36" i="1"/>
  <c r="D44" i="1"/>
  <c r="D52" i="1"/>
  <c r="D60" i="1"/>
  <c r="D68" i="1"/>
  <c r="D76" i="1"/>
  <c r="D84" i="1"/>
  <c r="D92" i="1"/>
  <c r="D100" i="1"/>
  <c r="D108" i="1"/>
  <c r="D116" i="1"/>
  <c r="D124" i="1"/>
  <c r="D132" i="1"/>
  <c r="D140" i="1"/>
  <c r="D5" i="1"/>
  <c r="D13" i="1"/>
  <c r="D21" i="1"/>
  <c r="D29" i="1"/>
  <c r="D37" i="1"/>
  <c r="D45" i="1"/>
  <c r="D53" i="1"/>
  <c r="D61" i="1"/>
  <c r="D69" i="1"/>
  <c r="D77" i="1"/>
  <c r="D85" i="1"/>
  <c r="D93" i="1"/>
  <c r="D6" i="1"/>
  <c r="D24" i="1"/>
  <c r="D47" i="1"/>
  <c r="D70" i="1"/>
  <c r="D88" i="1"/>
  <c r="D109" i="1"/>
  <c r="D125" i="1"/>
  <c r="D141" i="1"/>
  <c r="D7" i="1"/>
  <c r="D30" i="1"/>
  <c r="D48" i="1"/>
  <c r="D71" i="1"/>
  <c r="D94" i="1"/>
  <c r="D110" i="1"/>
  <c r="D126" i="1"/>
  <c r="D142" i="1"/>
  <c r="D8" i="1"/>
  <c r="D31" i="1"/>
  <c r="D54" i="1"/>
  <c r="D72" i="1"/>
  <c r="D95" i="1"/>
  <c r="D111" i="1"/>
  <c r="D127" i="1"/>
  <c r="D143" i="1"/>
  <c r="D14" i="1"/>
  <c r="D32" i="1"/>
  <c r="D55" i="1"/>
  <c r="D78" i="1"/>
  <c r="D96" i="1"/>
  <c r="D112" i="1"/>
  <c r="D128" i="1"/>
  <c r="D144" i="1"/>
  <c r="D15" i="1"/>
  <c r="D38" i="1"/>
  <c r="D56" i="1"/>
  <c r="D79" i="1"/>
  <c r="D101" i="1"/>
  <c r="D117" i="1"/>
  <c r="D133" i="1"/>
  <c r="D16" i="1"/>
  <c r="D39" i="1"/>
  <c r="D62" i="1"/>
  <c r="D80" i="1"/>
  <c r="D102" i="1"/>
  <c r="D118" i="1"/>
  <c r="D134" i="1"/>
  <c r="D22" i="1"/>
  <c r="D40" i="1"/>
  <c r="D63" i="1"/>
  <c r="D86" i="1"/>
  <c r="D103" i="1"/>
  <c r="D119" i="1"/>
  <c r="D135" i="1"/>
  <c r="D23" i="1"/>
  <c r="D46" i="1"/>
  <c r="D64" i="1"/>
  <c r="D87" i="1"/>
  <c r="D104" i="1"/>
  <c r="D120" i="1"/>
  <c r="D136" i="1"/>
  <c r="R53" i="1"/>
  <c r="M54" i="1"/>
  <c r="R54" i="1"/>
  <c r="M56" i="1"/>
  <c r="R55" i="1"/>
  <c r="M57" i="1"/>
  <c r="R21" i="1"/>
  <c r="R22" i="1"/>
  <c r="M24" i="1"/>
  <c r="R23" i="1"/>
  <c r="M25" i="1"/>
  <c r="M22" i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2" i="2"/>
  <c r="H60" i="2"/>
  <c r="G62" i="2"/>
  <c r="J60" i="2"/>
  <c r="I62" i="2"/>
  <c r="G50" i="2"/>
  <c r="I53" i="2"/>
  <c r="I58" i="2"/>
  <c r="J40" i="2"/>
  <c r="H39" i="2"/>
  <c r="I47" i="2"/>
  <c r="J38" i="2"/>
  <c r="G47" i="2"/>
  <c r="I45" i="2"/>
  <c r="I63" i="2"/>
  <c r="J63" i="2"/>
  <c r="H62" i="2"/>
  <c r="I51" i="2"/>
  <c r="J51" i="2"/>
  <c r="J56" i="2"/>
  <c r="J61" i="2"/>
  <c r="H48" i="2"/>
  <c r="G43" i="2"/>
  <c r="I43" i="2"/>
  <c r="H44" i="2"/>
  <c r="G39" i="2"/>
  <c r="H41" i="2"/>
  <c r="G49" i="2"/>
  <c r="H49" i="2"/>
  <c r="I49" i="2"/>
  <c r="J49" i="2"/>
  <c r="G53" i="2"/>
  <c r="H53" i="2"/>
  <c r="H58" i="2"/>
  <c r="G55" i="2"/>
  <c r="H40" i="2"/>
  <c r="J47" i="2"/>
  <c r="I39" i="2"/>
  <c r="G48" i="2"/>
  <c r="J45" i="2"/>
  <c r="J50" i="2"/>
  <c r="I52" i="2"/>
  <c r="G51" i="2"/>
  <c r="H51" i="2"/>
  <c r="J54" i="2"/>
  <c r="I56" i="2"/>
  <c r="I61" i="2"/>
  <c r="J53" i="2"/>
  <c r="G44" i="2"/>
  <c r="J43" i="2"/>
  <c r="H45" i="2"/>
  <c r="G40" i="2"/>
  <c r="J41" i="2"/>
  <c r="G37" i="2"/>
  <c r="H52" i="2"/>
  <c r="G54" i="2"/>
  <c r="J52" i="2"/>
  <c r="I54" i="2"/>
  <c r="H56" i="2"/>
  <c r="G58" i="2"/>
  <c r="G63" i="2"/>
  <c r="G60" i="2"/>
  <c r="I48" i="2"/>
  <c r="J39" i="2"/>
  <c r="H37" i="2"/>
  <c r="I46" i="2"/>
  <c r="J37" i="2"/>
  <c r="I37" i="2"/>
  <c r="G57" i="2"/>
  <c r="H57" i="2"/>
  <c r="I57" i="2"/>
  <c r="J57" i="2"/>
  <c r="G61" i="2"/>
  <c r="H61" i="2"/>
  <c r="G52" i="2"/>
  <c r="J48" i="2"/>
  <c r="I40" i="2"/>
  <c r="H38" i="2"/>
  <c r="J46" i="2"/>
  <c r="I38" i="2"/>
  <c r="G46" i="2"/>
  <c r="D2" i="2" a="1"/>
  <c r="J58" i="2"/>
  <c r="I60" i="2"/>
  <c r="G59" i="2"/>
  <c r="H59" i="2"/>
  <c r="J62" i="2"/>
  <c r="H50" i="2"/>
  <c r="H55" i="2"/>
  <c r="J44" i="2"/>
  <c r="H47" i="2"/>
  <c r="G42" i="2"/>
  <c r="J42" i="2"/>
  <c r="H43" i="2"/>
  <c r="G38" i="2"/>
  <c r="H63" i="2"/>
  <c r="I55" i="2"/>
  <c r="I44" i="2"/>
  <c r="J55" i="2"/>
  <c r="H46" i="2"/>
  <c r="H54" i="2"/>
  <c r="G41" i="2"/>
  <c r="G56" i="2"/>
  <c r="I42" i="2"/>
  <c r="H42" i="2"/>
  <c r="J59" i="2"/>
  <c r="G45" i="2"/>
  <c r="I50" i="2"/>
  <c r="I41" i="2"/>
  <c r="I59" i="2"/>
  <c r="O59" i="2" l="1"/>
  <c r="K41" i="2"/>
  <c r="O41" i="2"/>
  <c r="O50" i="2"/>
  <c r="M45" i="2"/>
  <c r="P59" i="2"/>
  <c r="O42" i="2"/>
  <c r="K42" i="2"/>
  <c r="M56" i="2"/>
  <c r="M41" i="2"/>
  <c r="P55" i="2"/>
  <c r="O44" i="2"/>
  <c r="K44" i="2"/>
  <c r="O55" i="2"/>
  <c r="M38" i="2"/>
  <c r="P42" i="2"/>
  <c r="M42" i="2"/>
  <c r="P44" i="2"/>
  <c r="P62" i="2"/>
  <c r="M59" i="2"/>
  <c r="O60" i="2"/>
  <c r="P58" i="2"/>
  <c r="M46" i="2"/>
  <c r="K38" i="2"/>
  <c r="O38" i="2"/>
  <c r="P46" i="2"/>
  <c r="K40" i="2"/>
  <c r="O40" i="2"/>
  <c r="P48" i="2"/>
  <c r="M52" i="2"/>
  <c r="M61" i="2"/>
  <c r="P57" i="2"/>
  <c r="O57" i="2"/>
  <c r="M57" i="2"/>
  <c r="K37" i="2"/>
  <c r="O37" i="2"/>
  <c r="P37" i="2"/>
  <c r="K46" i="2"/>
  <c r="O46" i="2"/>
  <c r="P39" i="2"/>
  <c r="K48" i="2"/>
  <c r="O48" i="2"/>
  <c r="M60" i="2"/>
  <c r="M63" i="2"/>
  <c r="M58" i="2"/>
  <c r="O54" i="2"/>
  <c r="P52" i="2"/>
  <c r="M54" i="2"/>
  <c r="M37" i="2"/>
  <c r="P41" i="2"/>
  <c r="M40" i="2"/>
  <c r="P43" i="2"/>
  <c r="M44" i="2"/>
  <c r="P53" i="2"/>
  <c r="O61" i="2"/>
  <c r="O56" i="2"/>
  <c r="P54" i="2"/>
  <c r="M51" i="2"/>
  <c r="O52" i="2"/>
  <c r="P50" i="2"/>
  <c r="P45" i="2"/>
  <c r="M48" i="2"/>
  <c r="K39" i="2"/>
  <c r="O39" i="2"/>
  <c r="P47" i="2"/>
  <c r="M55" i="2"/>
  <c r="M53" i="2"/>
  <c r="P49" i="2"/>
  <c r="O49" i="2"/>
  <c r="M49" i="2"/>
  <c r="M39" i="2"/>
  <c r="O43" i="2"/>
  <c r="K43" i="2"/>
  <c r="M43" i="2"/>
  <c r="P61" i="2"/>
  <c r="P56" i="2"/>
  <c r="P51" i="2"/>
  <c r="O51" i="2"/>
  <c r="P63" i="2"/>
  <c r="O63" i="2"/>
  <c r="O45" i="2"/>
  <c r="K45" i="2"/>
  <c r="M47" i="2"/>
  <c r="P38" i="2"/>
  <c r="K47" i="2"/>
  <c r="O47" i="2"/>
  <c r="P40" i="2"/>
  <c r="O58" i="2"/>
  <c r="O53" i="2"/>
  <c r="M50" i="2"/>
  <c r="O62" i="2"/>
  <c r="Q62" i="2" s="1"/>
  <c r="P60" i="2"/>
  <c r="M62" i="2"/>
  <c r="K58" i="2"/>
  <c r="K50" i="2"/>
  <c r="K61" i="2"/>
  <c r="K53" i="2"/>
  <c r="K56" i="2"/>
  <c r="K59" i="2"/>
  <c r="K51" i="2"/>
  <c r="K62" i="2"/>
  <c r="K54" i="2"/>
  <c r="K57" i="2"/>
  <c r="K49" i="2"/>
  <c r="K60" i="2"/>
  <c r="K52" i="2"/>
  <c r="K63" i="2"/>
  <c r="K55" i="2"/>
  <c r="D9" i="2"/>
  <c r="D17" i="2"/>
  <c r="D25" i="2"/>
  <c r="D33" i="2"/>
  <c r="D41" i="2"/>
  <c r="D49" i="2"/>
  <c r="D57" i="2"/>
  <c r="D65" i="2"/>
  <c r="D73" i="2"/>
  <c r="D81" i="2"/>
  <c r="D89" i="2"/>
  <c r="D97" i="2"/>
  <c r="D105" i="2"/>
  <c r="D113" i="2"/>
  <c r="D121" i="2"/>
  <c r="D129" i="2"/>
  <c r="D137" i="2"/>
  <c r="D145" i="2"/>
  <c r="D2" i="2"/>
  <c r="D10" i="2"/>
  <c r="D18" i="2"/>
  <c r="D26" i="2"/>
  <c r="D34" i="2"/>
  <c r="D42" i="2"/>
  <c r="D50" i="2"/>
  <c r="D58" i="2"/>
  <c r="D66" i="2"/>
  <c r="D74" i="2"/>
  <c r="D82" i="2"/>
  <c r="D90" i="2"/>
  <c r="D98" i="2"/>
  <c r="D106" i="2"/>
  <c r="D114" i="2"/>
  <c r="D122" i="2"/>
  <c r="D130" i="2"/>
  <c r="D138" i="2"/>
  <c r="D3" i="2"/>
  <c r="D11" i="2"/>
  <c r="D19" i="2"/>
  <c r="D27" i="2"/>
  <c r="D35" i="2"/>
  <c r="D43" i="2"/>
  <c r="D51" i="2"/>
  <c r="D59" i="2"/>
  <c r="D67" i="2"/>
  <c r="D75" i="2"/>
  <c r="D83" i="2"/>
  <c r="D91" i="2"/>
  <c r="D99" i="2"/>
  <c r="D107" i="2"/>
  <c r="D115" i="2"/>
  <c r="D123" i="2"/>
  <c r="D131" i="2"/>
  <c r="D139" i="2"/>
  <c r="D4" i="2"/>
  <c r="D12" i="2"/>
  <c r="D20" i="2"/>
  <c r="D28" i="2"/>
  <c r="D36" i="2"/>
  <c r="D44" i="2"/>
  <c r="D52" i="2"/>
  <c r="D60" i="2"/>
  <c r="D68" i="2"/>
  <c r="D76" i="2"/>
  <c r="D84" i="2"/>
  <c r="D92" i="2"/>
  <c r="D100" i="2"/>
  <c r="D108" i="2"/>
  <c r="D116" i="2"/>
  <c r="D124" i="2"/>
  <c r="D132" i="2"/>
  <c r="D140" i="2"/>
  <c r="D5" i="2"/>
  <c r="D13" i="2"/>
  <c r="D21" i="2"/>
  <c r="D29" i="2"/>
  <c r="D37" i="2"/>
  <c r="D45" i="2"/>
  <c r="D53" i="2"/>
  <c r="D61" i="2"/>
  <c r="D69" i="2"/>
  <c r="D77" i="2"/>
  <c r="D85" i="2"/>
  <c r="D93" i="2"/>
  <c r="D6" i="2"/>
  <c r="D24" i="2"/>
  <c r="D47" i="2"/>
  <c r="D70" i="2"/>
  <c r="D88" i="2"/>
  <c r="D109" i="2"/>
  <c r="D125" i="2"/>
  <c r="D141" i="2"/>
  <c r="D7" i="2"/>
  <c r="D30" i="2"/>
  <c r="D48" i="2"/>
  <c r="D71" i="2"/>
  <c r="D94" i="2"/>
  <c r="D110" i="2"/>
  <c r="D126" i="2"/>
  <c r="D142" i="2"/>
  <c r="D8" i="2"/>
  <c r="D31" i="2"/>
  <c r="D54" i="2"/>
  <c r="D72" i="2"/>
  <c r="D95" i="2"/>
  <c r="D111" i="2"/>
  <c r="D127" i="2"/>
  <c r="D143" i="2"/>
  <c r="D14" i="2"/>
  <c r="D32" i="2"/>
  <c r="D55" i="2"/>
  <c r="D78" i="2"/>
  <c r="D96" i="2"/>
  <c r="D112" i="2"/>
  <c r="D128" i="2"/>
  <c r="D144" i="2"/>
  <c r="D15" i="2"/>
  <c r="D38" i="2"/>
  <c r="D56" i="2"/>
  <c r="D79" i="2"/>
  <c r="D101" i="2"/>
  <c r="D117" i="2"/>
  <c r="D133" i="2"/>
  <c r="D16" i="2"/>
  <c r="D39" i="2"/>
  <c r="D62" i="2"/>
  <c r="D80" i="2"/>
  <c r="D102" i="2"/>
  <c r="D118" i="2"/>
  <c r="D134" i="2"/>
  <c r="D22" i="2"/>
  <c r="D40" i="2"/>
  <c r="D63" i="2"/>
  <c r="D86" i="2"/>
  <c r="D103" i="2"/>
  <c r="D119" i="2"/>
  <c r="D135" i="2"/>
  <c r="D23" i="2"/>
  <c r="D46" i="2"/>
  <c r="D64" i="2"/>
  <c r="D87" i="2"/>
  <c r="D104" i="2"/>
  <c r="D120" i="2"/>
  <c r="D136" i="2"/>
  <c r="Q49" i="2" l="1"/>
  <c r="Q39" i="2"/>
  <c r="Q51" i="2"/>
  <c r="Q63" i="2"/>
  <c r="Q43" i="2"/>
  <c r="Q56" i="2"/>
  <c r="Q60" i="2"/>
  <c r="Q58" i="2"/>
  <c r="Q41" i="2"/>
  <c r="Q61" i="2"/>
  <c r="Q46" i="2"/>
  <c r="Q47" i="2"/>
  <c r="Q54" i="2"/>
  <c r="Q55" i="2"/>
  <c r="Q44" i="2"/>
  <c r="Q42" i="2"/>
  <c r="Q37" i="2"/>
  <c r="Q40" i="2"/>
  <c r="Q50" i="2"/>
  <c r="Q52" i="2"/>
  <c r="Q48" i="2"/>
  <c r="Q53" i="2"/>
  <c r="Q45" i="2"/>
  <c r="Q57" i="2"/>
  <c r="Q38" i="2"/>
  <c r="Q59" i="2"/>
</calcChain>
</file>

<file path=xl/sharedStrings.xml><?xml version="1.0" encoding="utf-8"?>
<sst xmlns="http://schemas.openxmlformats.org/spreadsheetml/2006/main" count="107" uniqueCount="64">
  <si>
    <t>Descriptive Statistics</t>
  </si>
  <si>
    <t>AVERAGE:</t>
  </si>
  <si>
    <t>STD DEV:</t>
  </si>
  <si>
    <t>SKEW:</t>
  </si>
  <si>
    <t>EXCESS-KURTOSIS:</t>
  </si>
  <si>
    <t>MEDIAN:</t>
  </si>
  <si>
    <t>MIN:</t>
  </si>
  <si>
    <t>MAX:</t>
  </si>
  <si>
    <t>Q 1:</t>
  </si>
  <si>
    <t>Q 3:</t>
  </si>
  <si>
    <t>Significance Test</t>
  </si>
  <si>
    <t>Target</t>
  </si>
  <si>
    <t>P-Value</t>
  </si>
  <si>
    <t>SIG?</t>
  </si>
  <si>
    <t>Test</t>
  </si>
  <si>
    <t>p-value</t>
  </si>
  <si>
    <t>White-noise</t>
  </si>
  <si>
    <t>Normal Distributed?</t>
  </si>
  <si>
    <t>ARCH Effect?</t>
  </si>
  <si>
    <t>Correlogram Analysis</t>
  </si>
  <si>
    <t>Lag</t>
  </si>
  <si>
    <t>ACF</t>
  </si>
  <si>
    <t>UL</t>
  </si>
  <si>
    <t>LL</t>
  </si>
  <si>
    <t>PACF</t>
  </si>
  <si>
    <t>AIRLINE(12)</t>
  </si>
  <si>
    <t>Param</t>
  </si>
  <si>
    <t>Value</t>
  </si>
  <si>
    <t>μ</t>
  </si>
  <si>
    <t>θ</t>
  </si>
  <si>
    <t>Θ</t>
  </si>
  <si>
    <t>σ</t>
  </si>
  <si>
    <t>s</t>
  </si>
  <si>
    <t>Goodness-of-fit</t>
  </si>
  <si>
    <t>LLF</t>
  </si>
  <si>
    <t>AIC</t>
  </si>
  <si>
    <t>CHECK</t>
  </si>
  <si>
    <t>Residuals (standardized) Analysis</t>
  </si>
  <si>
    <t>AVG</t>
  </si>
  <si>
    <t>STDEV</t>
  </si>
  <si>
    <t>SKEW</t>
  </si>
  <si>
    <t>KURTOSIS</t>
  </si>
  <si>
    <t>Noise?</t>
  </si>
  <si>
    <t>Normal?</t>
  </si>
  <si>
    <t>ARCH?</t>
  </si>
  <si>
    <t>Forecast</t>
  </si>
  <si>
    <t>Step</t>
  </si>
  <si>
    <t>Mean</t>
  </si>
  <si>
    <t>STD</t>
  </si>
  <si>
    <t>Range</t>
  </si>
  <si>
    <t>http://support.sas.com/documentation/cdl/en/etsug/60372/HTML/default/viewer.htm#etsug_arima_sect056.htm#etsug.arima.ariex02b</t>
  </si>
  <si>
    <t>Date</t>
  </si>
  <si>
    <t>Passengers</t>
  </si>
  <si>
    <t>Source Data</t>
  </si>
  <si>
    <t>http://www.stat.wisc.edu/~reinsel/bjr-data/</t>
  </si>
  <si>
    <t>SAS Analysis</t>
  </si>
  <si>
    <t>Analysis</t>
  </si>
  <si>
    <t>Data</t>
  </si>
  <si>
    <t>NUMXL Analysis</t>
  </si>
  <si>
    <t>http://www.spiderfinancial.com/tips-demos</t>
  </si>
  <si>
    <t>LOG</t>
  </si>
  <si>
    <t>DIFF(1)</t>
  </si>
  <si>
    <t>DIFF(1)  x  DIFF(12)</t>
  </si>
  <si>
    <t>AIRLINE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</si>
</sst>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"/>
    <numFmt numFmtId="166" formatCode="[$-409]mmm\-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2">
    <xf numFmtId="0" fontId="0" fillId="0" borderId="0" xfId="0"/>
    <xf numFmtId="0" fontId="16" fillId="0" borderId="0" xfId="0" applyFont="1" applyAlignment="1">
      <alignment horizontal="left"/>
    </xf>
    <xf numFmtId="0" fontId="16" fillId="0" borderId="10" xfId="0" applyFont="1" applyBorder="1" applyAlignment="1">
      <alignment horizontal="left"/>
    </xf>
    <xf numFmtId="0" fontId="0" fillId="0" borderId="10" xfId="0" applyBorder="1"/>
    <xf numFmtId="0" fontId="1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0" fontId="16" fillId="33" borderId="11" xfId="0" applyNumberFormat="1" applyFont="1" applyFill="1" applyBorder="1" applyAlignment="1">
      <alignment horizontal="center"/>
    </xf>
    <xf numFmtId="0" fontId="0" fillId="0" borderId="11" xfId="0" applyBorder="1"/>
    <xf numFmtId="164" fontId="0" fillId="0" borderId="0" xfId="0" applyNumberFormat="1" applyFont="1" applyAlignment="1">
      <alignment horizontal="center"/>
    </xf>
    <xf numFmtId="10" fontId="0" fillId="0" borderId="0" xfId="0" applyNumberFormat="1" applyFont="1" applyAlignment="1">
      <alignment horizontal="center"/>
    </xf>
    <xf numFmtId="0" fontId="16" fillId="0" borderId="10" xfId="0" applyFont="1" applyBorder="1" applyAlignment="1">
      <alignment horizontal="center"/>
    </xf>
    <xf numFmtId="1" fontId="0" fillId="0" borderId="0" xfId="0" applyNumberFormat="1" applyFont="1" applyAlignment="1">
      <alignment horizontal="center"/>
    </xf>
    <xf numFmtId="10" fontId="0" fillId="0" borderId="0" xfId="0" applyNumberFormat="1"/>
    <xf numFmtId="2" fontId="0" fillId="0" borderId="0" xfId="0" applyNumberFormat="1"/>
    <xf numFmtId="165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0" xfId="0" applyNumberFormat="1"/>
    <xf numFmtId="0" fontId="16" fillId="0" borderId="0" xfId="0" applyFont="1" applyFill="1" applyBorder="1" applyAlignment="1">
      <alignment horizontal="center"/>
    </xf>
    <xf numFmtId="0" fontId="18" fillId="0" borderId="0" xfId="42"/>
    <xf numFmtId="0" fontId="0" fillId="0" borderId="12" xfId="0" applyBorder="1"/>
    <xf numFmtId="0" fontId="0" fillId="0" borderId="12" xfId="0" applyBorder="1" applyAlignment="1">
      <alignment horizontal="center"/>
    </xf>
    <xf numFmtId="166" fontId="0" fillId="0" borderId="0" xfId="0" applyNumberFormat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/>
    <xf numFmtId="0" fontId="16" fillId="0" borderId="12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International Airline Passenger</a:t>
            </a:r>
          </a:p>
          <a:p>
            <a:pPr>
              <a:defRPr/>
            </a:pPr>
            <a:r>
              <a:rPr lang="en-US" sz="1200" i="1"/>
              <a:t>Jan 1949 - Dec 1960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5578495601435652E-2"/>
          <c:y val="1.9797313923307112E-2"/>
          <c:w val="0.91114110736157983"/>
          <c:h val="0.8990130978153279"/>
        </c:manualLayout>
      </c:layout>
      <c:lineChart>
        <c:grouping val="standard"/>
        <c:varyColors val="0"/>
        <c:ser>
          <c:idx val="0"/>
          <c:order val="0"/>
          <c:tx>
            <c:v>Original</c:v>
          </c:tx>
          <c:spPr>
            <a:ln w="22225"/>
          </c:spPr>
          <c:marker>
            <c:symbol val="none"/>
          </c:marker>
          <c:cat>
            <c:numRef>
              <c:f>Analysis!$A$2:$A$145</c:f>
              <c:numCache>
                <c:formatCode>[$-409]mmm\-yy;@</c:formatCode>
                <c:ptCount val="144"/>
                <c:pt idx="0">
                  <c:v>17899</c:v>
                </c:pt>
                <c:pt idx="1">
                  <c:v>17930</c:v>
                </c:pt>
                <c:pt idx="2">
                  <c:v>17958</c:v>
                </c:pt>
                <c:pt idx="3">
                  <c:v>17989</c:v>
                </c:pt>
                <c:pt idx="4">
                  <c:v>18019</c:v>
                </c:pt>
                <c:pt idx="5">
                  <c:v>18050</c:v>
                </c:pt>
                <c:pt idx="6">
                  <c:v>18080</c:v>
                </c:pt>
                <c:pt idx="7">
                  <c:v>18111</c:v>
                </c:pt>
                <c:pt idx="8">
                  <c:v>18142</c:v>
                </c:pt>
                <c:pt idx="9">
                  <c:v>18172</c:v>
                </c:pt>
                <c:pt idx="10">
                  <c:v>18203</c:v>
                </c:pt>
                <c:pt idx="11">
                  <c:v>18233</c:v>
                </c:pt>
                <c:pt idx="12">
                  <c:v>18264</c:v>
                </c:pt>
                <c:pt idx="13">
                  <c:v>18295</c:v>
                </c:pt>
                <c:pt idx="14">
                  <c:v>18323</c:v>
                </c:pt>
                <c:pt idx="15">
                  <c:v>18354</c:v>
                </c:pt>
                <c:pt idx="16">
                  <c:v>18384</c:v>
                </c:pt>
                <c:pt idx="17">
                  <c:v>18415</c:v>
                </c:pt>
                <c:pt idx="18">
                  <c:v>18445</c:v>
                </c:pt>
                <c:pt idx="19">
                  <c:v>18476</c:v>
                </c:pt>
                <c:pt idx="20">
                  <c:v>18507</c:v>
                </c:pt>
                <c:pt idx="21">
                  <c:v>18537</c:v>
                </c:pt>
                <c:pt idx="22">
                  <c:v>18568</c:v>
                </c:pt>
                <c:pt idx="23">
                  <c:v>18598</c:v>
                </c:pt>
                <c:pt idx="24">
                  <c:v>18629</c:v>
                </c:pt>
                <c:pt idx="25">
                  <c:v>18660</c:v>
                </c:pt>
                <c:pt idx="26">
                  <c:v>18688</c:v>
                </c:pt>
                <c:pt idx="27">
                  <c:v>18719</c:v>
                </c:pt>
                <c:pt idx="28">
                  <c:v>18749</c:v>
                </c:pt>
                <c:pt idx="29">
                  <c:v>18780</c:v>
                </c:pt>
                <c:pt idx="30">
                  <c:v>18810</c:v>
                </c:pt>
                <c:pt idx="31">
                  <c:v>18841</c:v>
                </c:pt>
                <c:pt idx="32">
                  <c:v>18872</c:v>
                </c:pt>
                <c:pt idx="33">
                  <c:v>18902</c:v>
                </c:pt>
                <c:pt idx="34">
                  <c:v>18933</c:v>
                </c:pt>
                <c:pt idx="35">
                  <c:v>18963</c:v>
                </c:pt>
                <c:pt idx="36">
                  <c:v>18994</c:v>
                </c:pt>
                <c:pt idx="37">
                  <c:v>19025</c:v>
                </c:pt>
                <c:pt idx="38">
                  <c:v>19054</c:v>
                </c:pt>
                <c:pt idx="39">
                  <c:v>19085</c:v>
                </c:pt>
                <c:pt idx="40">
                  <c:v>19115</c:v>
                </c:pt>
                <c:pt idx="41">
                  <c:v>19146</c:v>
                </c:pt>
                <c:pt idx="42">
                  <c:v>19176</c:v>
                </c:pt>
                <c:pt idx="43">
                  <c:v>19207</c:v>
                </c:pt>
                <c:pt idx="44">
                  <c:v>19238</c:v>
                </c:pt>
                <c:pt idx="45">
                  <c:v>19268</c:v>
                </c:pt>
                <c:pt idx="46">
                  <c:v>19299</c:v>
                </c:pt>
                <c:pt idx="47">
                  <c:v>19329</c:v>
                </c:pt>
                <c:pt idx="48">
                  <c:v>19360</c:v>
                </c:pt>
                <c:pt idx="49">
                  <c:v>19391</c:v>
                </c:pt>
                <c:pt idx="50">
                  <c:v>19419</c:v>
                </c:pt>
                <c:pt idx="51">
                  <c:v>19450</c:v>
                </c:pt>
                <c:pt idx="52">
                  <c:v>19480</c:v>
                </c:pt>
                <c:pt idx="53">
                  <c:v>19511</c:v>
                </c:pt>
                <c:pt idx="54">
                  <c:v>19541</c:v>
                </c:pt>
                <c:pt idx="55">
                  <c:v>19572</c:v>
                </c:pt>
                <c:pt idx="56">
                  <c:v>19603</c:v>
                </c:pt>
                <c:pt idx="57">
                  <c:v>19633</c:v>
                </c:pt>
                <c:pt idx="58">
                  <c:v>19664</c:v>
                </c:pt>
                <c:pt idx="59">
                  <c:v>19694</c:v>
                </c:pt>
                <c:pt idx="60">
                  <c:v>19725</c:v>
                </c:pt>
                <c:pt idx="61">
                  <c:v>19756</c:v>
                </c:pt>
                <c:pt idx="62">
                  <c:v>19784</c:v>
                </c:pt>
                <c:pt idx="63">
                  <c:v>19815</c:v>
                </c:pt>
                <c:pt idx="64">
                  <c:v>19845</c:v>
                </c:pt>
                <c:pt idx="65">
                  <c:v>19876</c:v>
                </c:pt>
                <c:pt idx="66">
                  <c:v>19906</c:v>
                </c:pt>
                <c:pt idx="67">
                  <c:v>19937</c:v>
                </c:pt>
                <c:pt idx="68">
                  <c:v>19968</c:v>
                </c:pt>
                <c:pt idx="69">
                  <c:v>19998</c:v>
                </c:pt>
                <c:pt idx="70">
                  <c:v>20029</c:v>
                </c:pt>
                <c:pt idx="71">
                  <c:v>20059</c:v>
                </c:pt>
                <c:pt idx="72">
                  <c:v>20090</c:v>
                </c:pt>
                <c:pt idx="73">
                  <c:v>20121</c:v>
                </c:pt>
                <c:pt idx="74">
                  <c:v>20149</c:v>
                </c:pt>
                <c:pt idx="75">
                  <c:v>20180</c:v>
                </c:pt>
                <c:pt idx="76">
                  <c:v>20210</c:v>
                </c:pt>
                <c:pt idx="77">
                  <c:v>20241</c:v>
                </c:pt>
                <c:pt idx="78">
                  <c:v>20271</c:v>
                </c:pt>
                <c:pt idx="79">
                  <c:v>20302</c:v>
                </c:pt>
                <c:pt idx="80">
                  <c:v>20333</c:v>
                </c:pt>
                <c:pt idx="81">
                  <c:v>20363</c:v>
                </c:pt>
                <c:pt idx="82">
                  <c:v>20394</c:v>
                </c:pt>
                <c:pt idx="83">
                  <c:v>20424</c:v>
                </c:pt>
                <c:pt idx="84">
                  <c:v>20455</c:v>
                </c:pt>
                <c:pt idx="85">
                  <c:v>20486</c:v>
                </c:pt>
                <c:pt idx="86">
                  <c:v>20515</c:v>
                </c:pt>
                <c:pt idx="87">
                  <c:v>20546</c:v>
                </c:pt>
                <c:pt idx="88">
                  <c:v>20576</c:v>
                </c:pt>
                <c:pt idx="89">
                  <c:v>20607</c:v>
                </c:pt>
                <c:pt idx="90">
                  <c:v>20637</c:v>
                </c:pt>
                <c:pt idx="91">
                  <c:v>20668</c:v>
                </c:pt>
                <c:pt idx="92">
                  <c:v>20699</c:v>
                </c:pt>
                <c:pt idx="93">
                  <c:v>20729</c:v>
                </c:pt>
                <c:pt idx="94">
                  <c:v>20760</c:v>
                </c:pt>
                <c:pt idx="95">
                  <c:v>20790</c:v>
                </c:pt>
                <c:pt idx="96">
                  <c:v>20821</c:v>
                </c:pt>
                <c:pt idx="97">
                  <c:v>20852</c:v>
                </c:pt>
                <c:pt idx="98">
                  <c:v>20880</c:v>
                </c:pt>
                <c:pt idx="99">
                  <c:v>20911</c:v>
                </c:pt>
                <c:pt idx="100">
                  <c:v>20941</c:v>
                </c:pt>
                <c:pt idx="101">
                  <c:v>20972</c:v>
                </c:pt>
                <c:pt idx="102">
                  <c:v>21002</c:v>
                </c:pt>
                <c:pt idx="103">
                  <c:v>21033</c:v>
                </c:pt>
                <c:pt idx="104">
                  <c:v>21064</c:v>
                </c:pt>
                <c:pt idx="105">
                  <c:v>21094</c:v>
                </c:pt>
                <c:pt idx="106">
                  <c:v>21125</c:v>
                </c:pt>
                <c:pt idx="107">
                  <c:v>21155</c:v>
                </c:pt>
                <c:pt idx="108">
                  <c:v>21186</c:v>
                </c:pt>
                <c:pt idx="109">
                  <c:v>21217</c:v>
                </c:pt>
                <c:pt idx="110">
                  <c:v>21245</c:v>
                </c:pt>
                <c:pt idx="111">
                  <c:v>21276</c:v>
                </c:pt>
                <c:pt idx="112">
                  <c:v>21306</c:v>
                </c:pt>
                <c:pt idx="113">
                  <c:v>21337</c:v>
                </c:pt>
                <c:pt idx="114">
                  <c:v>21367</c:v>
                </c:pt>
                <c:pt idx="115">
                  <c:v>21398</c:v>
                </c:pt>
                <c:pt idx="116">
                  <c:v>21429</c:v>
                </c:pt>
                <c:pt idx="117">
                  <c:v>21459</c:v>
                </c:pt>
                <c:pt idx="118">
                  <c:v>21490</c:v>
                </c:pt>
                <c:pt idx="119">
                  <c:v>21520</c:v>
                </c:pt>
                <c:pt idx="120">
                  <c:v>21551</c:v>
                </c:pt>
                <c:pt idx="121">
                  <c:v>21582</c:v>
                </c:pt>
                <c:pt idx="122">
                  <c:v>21610</c:v>
                </c:pt>
                <c:pt idx="123">
                  <c:v>21641</c:v>
                </c:pt>
                <c:pt idx="124">
                  <c:v>21671</c:v>
                </c:pt>
                <c:pt idx="125">
                  <c:v>21702</c:v>
                </c:pt>
                <c:pt idx="126">
                  <c:v>21732</c:v>
                </c:pt>
                <c:pt idx="127">
                  <c:v>21763</c:v>
                </c:pt>
                <c:pt idx="128">
                  <c:v>21794</c:v>
                </c:pt>
                <c:pt idx="129">
                  <c:v>21824</c:v>
                </c:pt>
                <c:pt idx="130">
                  <c:v>21855</c:v>
                </c:pt>
                <c:pt idx="131">
                  <c:v>21885</c:v>
                </c:pt>
                <c:pt idx="132">
                  <c:v>21916</c:v>
                </c:pt>
                <c:pt idx="133">
                  <c:v>21947</c:v>
                </c:pt>
                <c:pt idx="134">
                  <c:v>21976</c:v>
                </c:pt>
                <c:pt idx="135">
                  <c:v>22007</c:v>
                </c:pt>
                <c:pt idx="136">
                  <c:v>22037</c:v>
                </c:pt>
                <c:pt idx="137">
                  <c:v>22068</c:v>
                </c:pt>
                <c:pt idx="138">
                  <c:v>22098</c:v>
                </c:pt>
                <c:pt idx="139">
                  <c:v>22129</c:v>
                </c:pt>
                <c:pt idx="140">
                  <c:v>22160</c:v>
                </c:pt>
                <c:pt idx="141">
                  <c:v>22190</c:v>
                </c:pt>
                <c:pt idx="142">
                  <c:v>22221</c:v>
                </c:pt>
                <c:pt idx="143">
                  <c:v>22251</c:v>
                </c:pt>
              </c:numCache>
            </c:numRef>
          </c:cat>
          <c:val>
            <c:numRef>
              <c:f>Analysis!$B$2:$B$145</c:f>
              <c:numCache>
                <c:formatCode>General</c:formatCode>
                <c:ptCount val="144"/>
                <c:pt idx="0">
                  <c:v>112</c:v>
                </c:pt>
                <c:pt idx="1">
                  <c:v>118</c:v>
                </c:pt>
                <c:pt idx="2">
                  <c:v>132</c:v>
                </c:pt>
                <c:pt idx="3">
                  <c:v>129</c:v>
                </c:pt>
                <c:pt idx="4">
                  <c:v>121</c:v>
                </c:pt>
                <c:pt idx="5">
                  <c:v>135</c:v>
                </c:pt>
                <c:pt idx="6">
                  <c:v>148</c:v>
                </c:pt>
                <c:pt idx="7">
                  <c:v>148</c:v>
                </c:pt>
                <c:pt idx="8">
                  <c:v>136</c:v>
                </c:pt>
                <c:pt idx="9">
                  <c:v>119</c:v>
                </c:pt>
                <c:pt idx="10">
                  <c:v>104</c:v>
                </c:pt>
                <c:pt idx="11">
                  <c:v>118</c:v>
                </c:pt>
                <c:pt idx="12">
                  <c:v>115</c:v>
                </c:pt>
                <c:pt idx="13">
                  <c:v>126</c:v>
                </c:pt>
                <c:pt idx="14">
                  <c:v>141</c:v>
                </c:pt>
                <c:pt idx="15">
                  <c:v>135</c:v>
                </c:pt>
                <c:pt idx="16">
                  <c:v>125</c:v>
                </c:pt>
                <c:pt idx="17">
                  <c:v>149</c:v>
                </c:pt>
                <c:pt idx="18">
                  <c:v>170</c:v>
                </c:pt>
                <c:pt idx="19">
                  <c:v>170</c:v>
                </c:pt>
                <c:pt idx="20">
                  <c:v>158</c:v>
                </c:pt>
                <c:pt idx="21">
                  <c:v>133</c:v>
                </c:pt>
                <c:pt idx="22">
                  <c:v>114</c:v>
                </c:pt>
                <c:pt idx="23">
                  <c:v>140</c:v>
                </c:pt>
                <c:pt idx="24">
                  <c:v>145</c:v>
                </c:pt>
                <c:pt idx="25">
                  <c:v>150</c:v>
                </c:pt>
                <c:pt idx="26">
                  <c:v>178</c:v>
                </c:pt>
                <c:pt idx="27">
                  <c:v>163</c:v>
                </c:pt>
                <c:pt idx="28">
                  <c:v>172</c:v>
                </c:pt>
                <c:pt idx="29">
                  <c:v>178</c:v>
                </c:pt>
                <c:pt idx="30">
                  <c:v>199</c:v>
                </c:pt>
                <c:pt idx="31">
                  <c:v>199</c:v>
                </c:pt>
                <c:pt idx="32">
                  <c:v>184</c:v>
                </c:pt>
                <c:pt idx="33">
                  <c:v>162</c:v>
                </c:pt>
                <c:pt idx="34">
                  <c:v>146</c:v>
                </c:pt>
                <c:pt idx="35">
                  <c:v>166</c:v>
                </c:pt>
                <c:pt idx="36">
                  <c:v>171</c:v>
                </c:pt>
                <c:pt idx="37">
                  <c:v>180</c:v>
                </c:pt>
                <c:pt idx="38">
                  <c:v>193</c:v>
                </c:pt>
                <c:pt idx="39">
                  <c:v>181</c:v>
                </c:pt>
                <c:pt idx="40">
                  <c:v>183</c:v>
                </c:pt>
                <c:pt idx="41">
                  <c:v>218</c:v>
                </c:pt>
                <c:pt idx="42">
                  <c:v>230</c:v>
                </c:pt>
                <c:pt idx="43">
                  <c:v>242</c:v>
                </c:pt>
                <c:pt idx="44">
                  <c:v>209</c:v>
                </c:pt>
                <c:pt idx="45">
                  <c:v>191</c:v>
                </c:pt>
                <c:pt idx="46">
                  <c:v>172</c:v>
                </c:pt>
                <c:pt idx="47">
                  <c:v>194</c:v>
                </c:pt>
                <c:pt idx="48">
                  <c:v>196</c:v>
                </c:pt>
                <c:pt idx="49">
                  <c:v>196</c:v>
                </c:pt>
                <c:pt idx="50">
                  <c:v>236</c:v>
                </c:pt>
                <c:pt idx="51">
                  <c:v>235</c:v>
                </c:pt>
                <c:pt idx="52">
                  <c:v>229</c:v>
                </c:pt>
                <c:pt idx="53">
                  <c:v>243</c:v>
                </c:pt>
                <c:pt idx="54">
                  <c:v>264</c:v>
                </c:pt>
                <c:pt idx="55">
                  <c:v>272</c:v>
                </c:pt>
                <c:pt idx="56">
                  <c:v>237</c:v>
                </c:pt>
                <c:pt idx="57">
                  <c:v>211</c:v>
                </c:pt>
                <c:pt idx="58">
                  <c:v>180</c:v>
                </c:pt>
                <c:pt idx="59">
                  <c:v>201</c:v>
                </c:pt>
                <c:pt idx="60">
                  <c:v>204</c:v>
                </c:pt>
                <c:pt idx="61">
                  <c:v>188</c:v>
                </c:pt>
                <c:pt idx="62">
                  <c:v>235</c:v>
                </c:pt>
                <c:pt idx="63">
                  <c:v>227</c:v>
                </c:pt>
                <c:pt idx="64">
                  <c:v>234</c:v>
                </c:pt>
                <c:pt idx="65">
                  <c:v>264</c:v>
                </c:pt>
                <c:pt idx="66">
                  <c:v>302</c:v>
                </c:pt>
                <c:pt idx="67">
                  <c:v>293</c:v>
                </c:pt>
                <c:pt idx="68">
                  <c:v>259</c:v>
                </c:pt>
                <c:pt idx="69">
                  <c:v>229</c:v>
                </c:pt>
                <c:pt idx="70">
                  <c:v>203</c:v>
                </c:pt>
                <c:pt idx="71">
                  <c:v>229</c:v>
                </c:pt>
                <c:pt idx="72">
                  <c:v>242</c:v>
                </c:pt>
                <c:pt idx="73">
                  <c:v>233</c:v>
                </c:pt>
                <c:pt idx="74">
                  <c:v>267</c:v>
                </c:pt>
                <c:pt idx="75">
                  <c:v>269</c:v>
                </c:pt>
                <c:pt idx="76">
                  <c:v>270</c:v>
                </c:pt>
                <c:pt idx="77">
                  <c:v>315</c:v>
                </c:pt>
                <c:pt idx="78">
                  <c:v>364</c:v>
                </c:pt>
                <c:pt idx="79">
                  <c:v>347</c:v>
                </c:pt>
                <c:pt idx="80">
                  <c:v>312</c:v>
                </c:pt>
                <c:pt idx="81">
                  <c:v>274</c:v>
                </c:pt>
                <c:pt idx="82">
                  <c:v>237</c:v>
                </c:pt>
                <c:pt idx="83">
                  <c:v>278</c:v>
                </c:pt>
                <c:pt idx="84">
                  <c:v>284</c:v>
                </c:pt>
                <c:pt idx="85">
                  <c:v>277</c:v>
                </c:pt>
                <c:pt idx="86">
                  <c:v>317</c:v>
                </c:pt>
                <c:pt idx="87">
                  <c:v>313</c:v>
                </c:pt>
                <c:pt idx="88">
                  <c:v>318</c:v>
                </c:pt>
                <c:pt idx="89">
                  <c:v>374</c:v>
                </c:pt>
                <c:pt idx="90">
                  <c:v>413</c:v>
                </c:pt>
                <c:pt idx="91">
                  <c:v>405</c:v>
                </c:pt>
                <c:pt idx="92">
                  <c:v>355</c:v>
                </c:pt>
                <c:pt idx="93">
                  <c:v>306</c:v>
                </c:pt>
                <c:pt idx="94">
                  <c:v>271</c:v>
                </c:pt>
                <c:pt idx="95">
                  <c:v>306</c:v>
                </c:pt>
                <c:pt idx="96">
                  <c:v>315</c:v>
                </c:pt>
                <c:pt idx="97">
                  <c:v>301</c:v>
                </c:pt>
                <c:pt idx="98">
                  <c:v>356</c:v>
                </c:pt>
                <c:pt idx="99">
                  <c:v>348</c:v>
                </c:pt>
                <c:pt idx="100">
                  <c:v>355</c:v>
                </c:pt>
                <c:pt idx="101">
                  <c:v>422</c:v>
                </c:pt>
                <c:pt idx="102">
                  <c:v>465</c:v>
                </c:pt>
                <c:pt idx="103">
                  <c:v>467</c:v>
                </c:pt>
                <c:pt idx="104">
                  <c:v>404</c:v>
                </c:pt>
                <c:pt idx="105">
                  <c:v>347</c:v>
                </c:pt>
                <c:pt idx="106">
                  <c:v>305</c:v>
                </c:pt>
                <c:pt idx="107">
                  <c:v>336</c:v>
                </c:pt>
                <c:pt idx="108">
                  <c:v>340</c:v>
                </c:pt>
                <c:pt idx="109">
                  <c:v>318</c:v>
                </c:pt>
                <c:pt idx="110">
                  <c:v>362</c:v>
                </c:pt>
                <c:pt idx="111">
                  <c:v>348</c:v>
                </c:pt>
                <c:pt idx="112">
                  <c:v>363</c:v>
                </c:pt>
                <c:pt idx="113">
                  <c:v>435</c:v>
                </c:pt>
                <c:pt idx="114">
                  <c:v>491</c:v>
                </c:pt>
                <c:pt idx="115">
                  <c:v>505</c:v>
                </c:pt>
                <c:pt idx="116">
                  <c:v>404</c:v>
                </c:pt>
                <c:pt idx="117">
                  <c:v>359</c:v>
                </c:pt>
                <c:pt idx="118">
                  <c:v>310</c:v>
                </c:pt>
                <c:pt idx="119">
                  <c:v>337</c:v>
                </c:pt>
                <c:pt idx="120">
                  <c:v>360</c:v>
                </c:pt>
                <c:pt idx="121">
                  <c:v>342</c:v>
                </c:pt>
                <c:pt idx="122">
                  <c:v>406</c:v>
                </c:pt>
                <c:pt idx="123">
                  <c:v>396</c:v>
                </c:pt>
                <c:pt idx="124">
                  <c:v>420</c:v>
                </c:pt>
                <c:pt idx="125">
                  <c:v>472</c:v>
                </c:pt>
                <c:pt idx="126">
                  <c:v>548</c:v>
                </c:pt>
                <c:pt idx="127">
                  <c:v>559</c:v>
                </c:pt>
                <c:pt idx="128">
                  <c:v>463</c:v>
                </c:pt>
                <c:pt idx="129">
                  <c:v>407</c:v>
                </c:pt>
                <c:pt idx="130">
                  <c:v>362</c:v>
                </c:pt>
                <c:pt idx="131">
                  <c:v>405</c:v>
                </c:pt>
                <c:pt idx="132">
                  <c:v>417</c:v>
                </c:pt>
                <c:pt idx="133">
                  <c:v>391</c:v>
                </c:pt>
                <c:pt idx="134">
                  <c:v>419</c:v>
                </c:pt>
                <c:pt idx="135">
                  <c:v>461</c:v>
                </c:pt>
                <c:pt idx="136">
                  <c:v>472</c:v>
                </c:pt>
                <c:pt idx="137">
                  <c:v>535</c:v>
                </c:pt>
                <c:pt idx="138">
                  <c:v>622</c:v>
                </c:pt>
                <c:pt idx="139">
                  <c:v>606</c:v>
                </c:pt>
                <c:pt idx="140">
                  <c:v>508</c:v>
                </c:pt>
                <c:pt idx="141">
                  <c:v>461</c:v>
                </c:pt>
                <c:pt idx="142">
                  <c:v>390</c:v>
                </c:pt>
                <c:pt idx="143">
                  <c:v>432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948928"/>
        <c:axId val="221958912"/>
      </c:lineChart>
      <c:dateAx>
        <c:axId val="221948928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crossAx val="221958912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221958912"/>
        <c:scaling>
          <c:orientation val="minMax"/>
          <c:max val="65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2219489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Airline Passengers Total Forecast</a:t>
            </a:r>
          </a:p>
        </c:rich>
      </c:tx>
      <c:layout/>
      <c:overlay val="1"/>
    </c:title>
    <c:autoTitleDeleted val="0"/>
    <c:plotArea>
      <c:layout/>
      <c:areaChart>
        <c:grouping val="stacked"/>
        <c:varyColors val="0"/>
        <c:ser>
          <c:idx val="0"/>
          <c:order val="0"/>
          <c:spPr>
            <a:noFill/>
            <a:ln>
              <a:noFill/>
            </a:ln>
          </c:spPr>
          <c:cat>
            <c:numRef>
              <c:f>Modeling!$E$37:$E$63</c:f>
              <c:numCache>
                <c:formatCode>[$-409]mmm\-yy;@</c:formatCode>
                <c:ptCount val="27"/>
                <c:pt idx="0">
                  <c:v>22282</c:v>
                </c:pt>
                <c:pt idx="1">
                  <c:v>22313</c:v>
                </c:pt>
                <c:pt idx="2">
                  <c:v>22341</c:v>
                </c:pt>
                <c:pt idx="3">
                  <c:v>22372</c:v>
                </c:pt>
                <c:pt idx="4">
                  <c:v>22402</c:v>
                </c:pt>
                <c:pt idx="5">
                  <c:v>22433</c:v>
                </c:pt>
                <c:pt idx="6">
                  <c:v>22463</c:v>
                </c:pt>
                <c:pt idx="7">
                  <c:v>22494</c:v>
                </c:pt>
                <c:pt idx="8">
                  <c:v>22525</c:v>
                </c:pt>
                <c:pt idx="9">
                  <c:v>22555</c:v>
                </c:pt>
                <c:pt idx="10">
                  <c:v>22586</c:v>
                </c:pt>
                <c:pt idx="11">
                  <c:v>22616</c:v>
                </c:pt>
                <c:pt idx="12">
                  <c:v>22647</c:v>
                </c:pt>
                <c:pt idx="13">
                  <c:v>22678</c:v>
                </c:pt>
                <c:pt idx="14">
                  <c:v>22706</c:v>
                </c:pt>
                <c:pt idx="15">
                  <c:v>22737</c:v>
                </c:pt>
                <c:pt idx="16">
                  <c:v>22767</c:v>
                </c:pt>
                <c:pt idx="17">
                  <c:v>22798</c:v>
                </c:pt>
                <c:pt idx="18">
                  <c:v>22828</c:v>
                </c:pt>
                <c:pt idx="19">
                  <c:v>22859</c:v>
                </c:pt>
                <c:pt idx="20">
                  <c:v>22890</c:v>
                </c:pt>
                <c:pt idx="21">
                  <c:v>22920</c:v>
                </c:pt>
                <c:pt idx="22">
                  <c:v>22951</c:v>
                </c:pt>
                <c:pt idx="23">
                  <c:v>22981</c:v>
                </c:pt>
                <c:pt idx="24">
                  <c:v>23012</c:v>
                </c:pt>
                <c:pt idx="25">
                  <c:v>23043</c:v>
                </c:pt>
                <c:pt idx="26">
                  <c:v>23071</c:v>
                </c:pt>
              </c:numCache>
            </c:numRef>
          </c:cat>
          <c:val>
            <c:numRef>
              <c:f>Modeling!$P$37:$P$63</c:f>
              <c:numCache>
                <c:formatCode>0</c:formatCode>
                <c:ptCount val="27"/>
                <c:pt idx="0">
                  <c:v>417.54658571753521</c:v>
                </c:pt>
                <c:pt idx="1">
                  <c:v>387.03002981708624</c:v>
                </c:pt>
                <c:pt idx="2">
                  <c:v>410.58159788578769</c:v>
                </c:pt>
                <c:pt idx="3">
                  <c:v>447.65276471710666</c:v>
                </c:pt>
                <c:pt idx="4">
                  <c:v>454.53531615499617</c:v>
                </c:pt>
                <c:pt idx="5">
                  <c:v>511.24106430721992</c:v>
                </c:pt>
                <c:pt idx="6">
                  <c:v>590.09459471697824</c:v>
                </c:pt>
                <c:pt idx="7">
                  <c:v>571.00679259033575</c:v>
                </c:pt>
                <c:pt idx="8">
                  <c:v>475.57778776143579</c:v>
                </c:pt>
                <c:pt idx="9">
                  <c:v>425.45113883722286</c:v>
                </c:pt>
                <c:pt idx="10">
                  <c:v>364.53920040585035</c:v>
                </c:pt>
                <c:pt idx="11">
                  <c:v>403.041008968217</c:v>
                </c:pt>
                <c:pt idx="12">
                  <c:v>409.5216864699762</c:v>
                </c:pt>
                <c:pt idx="13">
                  <c:v>379.56348527568036</c:v>
                </c:pt>
                <c:pt idx="14">
                  <c:v>402.34398805951588</c:v>
                </c:pt>
                <c:pt idx="15">
                  <c:v>438.14782862237837</c:v>
                </c:pt>
                <c:pt idx="16">
                  <c:v>444.24377689175674</c:v>
                </c:pt>
                <c:pt idx="17">
                  <c:v>498.86967475329266</c:v>
                </c:pt>
                <c:pt idx="18">
                  <c:v>574.84240532767899</c:v>
                </c:pt>
                <c:pt idx="19">
                  <c:v>555.27523894526144</c:v>
                </c:pt>
                <c:pt idx="20">
                  <c:v>461.6503406529057</c:v>
                </c:pt>
                <c:pt idx="21">
                  <c:v>412.24726350680322</c:v>
                </c:pt>
                <c:pt idx="22">
                  <c:v>352.58657819976298</c:v>
                </c:pt>
                <c:pt idx="23">
                  <c:v>389.12104676951009</c:v>
                </c:pt>
                <c:pt idx="24">
                  <c:v>395.89573943219909</c:v>
                </c:pt>
                <c:pt idx="25">
                  <c:v>366.58040456637372</c:v>
                </c:pt>
                <c:pt idx="26">
                  <c:v>388.13776156717148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cat>
            <c:numRef>
              <c:f>Modeling!$E$37:$E$63</c:f>
              <c:numCache>
                <c:formatCode>[$-409]mmm\-yy;@</c:formatCode>
                <c:ptCount val="27"/>
                <c:pt idx="0">
                  <c:v>22282</c:v>
                </c:pt>
                <c:pt idx="1">
                  <c:v>22313</c:v>
                </c:pt>
                <c:pt idx="2">
                  <c:v>22341</c:v>
                </c:pt>
                <c:pt idx="3">
                  <c:v>22372</c:v>
                </c:pt>
                <c:pt idx="4">
                  <c:v>22402</c:v>
                </c:pt>
                <c:pt idx="5">
                  <c:v>22433</c:v>
                </c:pt>
                <c:pt idx="6">
                  <c:v>22463</c:v>
                </c:pt>
                <c:pt idx="7">
                  <c:v>22494</c:v>
                </c:pt>
                <c:pt idx="8">
                  <c:v>22525</c:v>
                </c:pt>
                <c:pt idx="9">
                  <c:v>22555</c:v>
                </c:pt>
                <c:pt idx="10">
                  <c:v>22586</c:v>
                </c:pt>
                <c:pt idx="11">
                  <c:v>22616</c:v>
                </c:pt>
                <c:pt idx="12">
                  <c:v>22647</c:v>
                </c:pt>
                <c:pt idx="13">
                  <c:v>22678</c:v>
                </c:pt>
                <c:pt idx="14">
                  <c:v>22706</c:v>
                </c:pt>
                <c:pt idx="15">
                  <c:v>22737</c:v>
                </c:pt>
                <c:pt idx="16">
                  <c:v>22767</c:v>
                </c:pt>
                <c:pt idx="17">
                  <c:v>22798</c:v>
                </c:pt>
                <c:pt idx="18">
                  <c:v>22828</c:v>
                </c:pt>
                <c:pt idx="19">
                  <c:v>22859</c:v>
                </c:pt>
                <c:pt idx="20">
                  <c:v>22890</c:v>
                </c:pt>
                <c:pt idx="21">
                  <c:v>22920</c:v>
                </c:pt>
                <c:pt idx="22">
                  <c:v>22951</c:v>
                </c:pt>
                <c:pt idx="23">
                  <c:v>22981</c:v>
                </c:pt>
                <c:pt idx="24">
                  <c:v>23012</c:v>
                </c:pt>
                <c:pt idx="25">
                  <c:v>23043</c:v>
                </c:pt>
                <c:pt idx="26">
                  <c:v>23071</c:v>
                </c:pt>
              </c:numCache>
            </c:numRef>
          </c:cat>
          <c:val>
            <c:numRef>
              <c:f>Modeling!$Q$37:$Q$63</c:f>
              <c:numCache>
                <c:formatCode>0</c:formatCode>
                <c:ptCount val="27"/>
                <c:pt idx="0">
                  <c:v>67.540992656989886</c:v>
                </c:pt>
                <c:pt idx="1">
                  <c:v>73.347890878319106</c:v>
                </c:pt>
                <c:pt idx="2">
                  <c:v>88.05810618385533</c:v>
                </c:pt>
                <c:pt idx="3">
                  <c:v>106.29845829325092</c:v>
                </c:pt>
                <c:pt idx="4">
                  <c:v>117.70699462201208</c:v>
                </c:pt>
                <c:pt idx="5">
                  <c:v>142.78956824739129</c:v>
                </c:pt>
                <c:pt idx="6">
                  <c:v>176.25696183843547</c:v>
                </c:pt>
                <c:pt idx="7">
                  <c:v>181.17971643929911</c:v>
                </c:pt>
                <c:pt idx="8">
                  <c:v>159.43150860215093</c:v>
                </c:pt>
                <c:pt idx="9">
                  <c:v>150.01484918425945</c:v>
                </c:pt>
                <c:pt idx="10">
                  <c:v>134.68456567624781</c:v>
                </c:pt>
                <c:pt idx="11">
                  <c:v>155.52839223315647</c:v>
                </c:pt>
                <c:pt idx="12">
                  <c:v>182.42224015901661</c:v>
                </c:pt>
                <c:pt idx="13">
                  <c:v>182.59628519349315</c:v>
                </c:pt>
                <c:pt idx="14">
                  <c:v>207.37049865496618</c:v>
                </c:pt>
                <c:pt idx="15">
                  <c:v>240.40315044098361</c:v>
                </c:pt>
                <c:pt idx="16">
                  <c:v>258.13155290864586</c:v>
                </c:pt>
                <c:pt idx="17">
                  <c:v>305.64204263180466</c:v>
                </c:pt>
                <c:pt idx="18">
                  <c:v>369.97785207053607</c:v>
                </c:pt>
                <c:pt idx="19">
                  <c:v>374.24633806805571</c:v>
                </c:pt>
                <c:pt idx="20">
                  <c:v>324.92822771379497</c:v>
                </c:pt>
                <c:pt idx="21">
                  <c:v>302.27842717841128</c:v>
                </c:pt>
                <c:pt idx="22">
                  <c:v>268.75819121711066</c:v>
                </c:pt>
                <c:pt idx="23">
                  <c:v>307.7513236059313</c:v>
                </c:pt>
                <c:pt idx="24">
                  <c:v>342.07796998208926</c:v>
                </c:pt>
                <c:pt idx="25">
                  <c:v>335.34642392134452</c:v>
                </c:pt>
                <c:pt idx="26">
                  <c:v>374.48135504534122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721024"/>
        <c:axId val="212739200"/>
      </c:areaChart>
      <c:lineChart>
        <c:grouping val="standard"/>
        <c:varyColors val="0"/>
        <c:ser>
          <c:idx val="2"/>
          <c:order val="2"/>
          <c:tx>
            <c:v>Airline</c:v>
          </c:tx>
          <c:spPr>
            <a:ln w="19050">
              <a:solidFill>
                <a:schemeClr val="tx1"/>
              </a:solidFill>
            </a:ln>
          </c:spPr>
          <c:marker>
            <c:symbol val="triangle"/>
            <c:size val="10"/>
            <c:spPr>
              <a:solidFill>
                <a:schemeClr val="tx1"/>
              </a:solidFill>
            </c:spPr>
          </c:marker>
          <c:val>
            <c:numRef>
              <c:f>Modeling!$M$37:$M$63</c:f>
              <c:numCache>
                <c:formatCode>0</c:formatCode>
                <c:ptCount val="27"/>
                <c:pt idx="0">
                  <c:v>450.38117404221003</c:v>
                </c:pt>
                <c:pt idx="1">
                  <c:v>422.52771174133107</c:v>
                </c:pt>
                <c:pt idx="2">
                  <c:v>453.02975753089981</c:v>
                </c:pt>
                <c:pt idx="3">
                  <c:v>498.70979580971709</c:v>
                </c:pt>
                <c:pt idx="4">
                  <c:v>510.88510239241316</c:v>
                </c:pt>
                <c:pt idx="5">
                  <c:v>579.38772327294089</c:v>
                </c:pt>
                <c:pt idx="6">
                  <c:v>673.96936745500398</c:v>
                </c:pt>
                <c:pt idx="7">
                  <c:v>656.98683029173355</c:v>
                </c:pt>
                <c:pt idx="8">
                  <c:v>551.038595682601</c:v>
                </c:pt>
                <c:pt idx="9">
                  <c:v>496.27661388333507</c:v>
                </c:pt>
                <c:pt idx="10">
                  <c:v>427.97344078493643</c:v>
                </c:pt>
                <c:pt idx="11">
                  <c:v>476.12194844810966</c:v>
                </c:pt>
                <c:pt idx="12">
                  <c:v>494.5348673700546</c:v>
                </c:pt>
                <c:pt idx="13">
                  <c:v>464.25022419303025</c:v>
                </c:pt>
                <c:pt idx="14">
                  <c:v>498.08549007729056</c:v>
                </c:pt>
                <c:pt idx="15">
                  <c:v>548.66252186152633</c:v>
                </c:pt>
                <c:pt idx="16">
                  <c:v>562.42014909427314</c:v>
                </c:pt>
                <c:pt idx="17">
                  <c:v>638.24461195094329</c:v>
                </c:pt>
                <c:pt idx="18">
                  <c:v>742.91352082200228</c:v>
                </c:pt>
                <c:pt idx="19">
                  <c:v>724.66119284181127</c:v>
                </c:pt>
                <c:pt idx="20">
                  <c:v>608.19184877807993</c:v>
                </c:pt>
                <c:pt idx="21">
                  <c:v>548.10356015839841</c:v>
                </c:pt>
                <c:pt idx="22">
                  <c:v>472.97247463565981</c:v>
                </c:pt>
                <c:pt idx="23">
                  <c:v>526.52316944844074</c:v>
                </c:pt>
                <c:pt idx="24">
                  <c:v>547.38331611080673</c:v>
                </c:pt>
                <c:pt idx="25">
                  <c:v>514.27344481727971</c:v>
                </c:pt>
                <c:pt idx="26">
                  <c:v>552.19593590301838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721024"/>
        <c:axId val="212739200"/>
      </c:lineChart>
      <c:dateAx>
        <c:axId val="212721024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crossAx val="212739200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212739200"/>
        <c:scaling>
          <c:orientation val="minMax"/>
          <c:max val="1000"/>
          <c:min val="300"/>
        </c:scaling>
        <c:delete val="0"/>
        <c:axPos val="l"/>
        <c:numFmt formatCode="0" sourceLinked="1"/>
        <c:majorTickMark val="out"/>
        <c:minorTickMark val="none"/>
        <c:tickLblPos val="nextTo"/>
        <c:crossAx val="212721024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Log</a:t>
            </a:r>
            <a:r>
              <a:rPr lang="en-US" baseline="0"/>
              <a:t> - </a:t>
            </a:r>
            <a:r>
              <a:rPr lang="en-US"/>
              <a:t>International Airline Passenger</a:t>
            </a:r>
          </a:p>
          <a:p>
            <a:pPr>
              <a:defRPr/>
            </a:pPr>
            <a:r>
              <a:rPr lang="en-US" sz="1200" i="1"/>
              <a:t>Jan 1949 - Dec 1960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557846935799691E-2"/>
          <c:y val="1.9797306358602985E-2"/>
          <c:w val="0.91114110736157983"/>
          <c:h val="0.8990130978153279"/>
        </c:manualLayout>
      </c:layout>
      <c:lineChart>
        <c:grouping val="standard"/>
        <c:varyColors val="0"/>
        <c:ser>
          <c:idx val="0"/>
          <c:order val="0"/>
          <c:tx>
            <c:v>Original</c:v>
          </c:tx>
          <c:spPr>
            <a:ln w="22225"/>
          </c:spPr>
          <c:marker>
            <c:symbol val="none"/>
          </c:marker>
          <c:cat>
            <c:numRef>
              <c:f>Analysis!$A$2:$A$145</c:f>
              <c:numCache>
                <c:formatCode>[$-409]mmm\-yy;@</c:formatCode>
                <c:ptCount val="144"/>
                <c:pt idx="0">
                  <c:v>17899</c:v>
                </c:pt>
                <c:pt idx="1">
                  <c:v>17930</c:v>
                </c:pt>
                <c:pt idx="2">
                  <c:v>17958</c:v>
                </c:pt>
                <c:pt idx="3">
                  <c:v>17989</c:v>
                </c:pt>
                <c:pt idx="4">
                  <c:v>18019</c:v>
                </c:pt>
                <c:pt idx="5">
                  <c:v>18050</c:v>
                </c:pt>
                <c:pt idx="6">
                  <c:v>18080</c:v>
                </c:pt>
                <c:pt idx="7">
                  <c:v>18111</c:v>
                </c:pt>
                <c:pt idx="8">
                  <c:v>18142</c:v>
                </c:pt>
                <c:pt idx="9">
                  <c:v>18172</c:v>
                </c:pt>
                <c:pt idx="10">
                  <c:v>18203</c:v>
                </c:pt>
                <c:pt idx="11">
                  <c:v>18233</c:v>
                </c:pt>
                <c:pt idx="12">
                  <c:v>18264</c:v>
                </c:pt>
                <c:pt idx="13">
                  <c:v>18295</c:v>
                </c:pt>
                <c:pt idx="14">
                  <c:v>18323</c:v>
                </c:pt>
                <c:pt idx="15">
                  <c:v>18354</c:v>
                </c:pt>
                <c:pt idx="16">
                  <c:v>18384</c:v>
                </c:pt>
                <c:pt idx="17">
                  <c:v>18415</c:v>
                </c:pt>
                <c:pt idx="18">
                  <c:v>18445</c:v>
                </c:pt>
                <c:pt idx="19">
                  <c:v>18476</c:v>
                </c:pt>
                <c:pt idx="20">
                  <c:v>18507</c:v>
                </c:pt>
                <c:pt idx="21">
                  <c:v>18537</c:v>
                </c:pt>
                <c:pt idx="22">
                  <c:v>18568</c:v>
                </c:pt>
                <c:pt idx="23">
                  <c:v>18598</c:v>
                </c:pt>
                <c:pt idx="24">
                  <c:v>18629</c:v>
                </c:pt>
                <c:pt idx="25">
                  <c:v>18660</c:v>
                </c:pt>
                <c:pt idx="26">
                  <c:v>18688</c:v>
                </c:pt>
                <c:pt idx="27">
                  <c:v>18719</c:v>
                </c:pt>
                <c:pt idx="28">
                  <c:v>18749</c:v>
                </c:pt>
                <c:pt idx="29">
                  <c:v>18780</c:v>
                </c:pt>
                <c:pt idx="30">
                  <c:v>18810</c:v>
                </c:pt>
                <c:pt idx="31">
                  <c:v>18841</c:v>
                </c:pt>
                <c:pt idx="32">
                  <c:v>18872</c:v>
                </c:pt>
                <c:pt idx="33">
                  <c:v>18902</c:v>
                </c:pt>
                <c:pt idx="34">
                  <c:v>18933</c:v>
                </c:pt>
                <c:pt idx="35">
                  <c:v>18963</c:v>
                </c:pt>
                <c:pt idx="36">
                  <c:v>18994</c:v>
                </c:pt>
                <c:pt idx="37">
                  <c:v>19025</c:v>
                </c:pt>
                <c:pt idx="38">
                  <c:v>19054</c:v>
                </c:pt>
                <c:pt idx="39">
                  <c:v>19085</c:v>
                </c:pt>
                <c:pt idx="40">
                  <c:v>19115</c:v>
                </c:pt>
                <c:pt idx="41">
                  <c:v>19146</c:v>
                </c:pt>
                <c:pt idx="42">
                  <c:v>19176</c:v>
                </c:pt>
                <c:pt idx="43">
                  <c:v>19207</c:v>
                </c:pt>
                <c:pt idx="44">
                  <c:v>19238</c:v>
                </c:pt>
                <c:pt idx="45">
                  <c:v>19268</c:v>
                </c:pt>
                <c:pt idx="46">
                  <c:v>19299</c:v>
                </c:pt>
                <c:pt idx="47">
                  <c:v>19329</c:v>
                </c:pt>
                <c:pt idx="48">
                  <c:v>19360</c:v>
                </c:pt>
                <c:pt idx="49">
                  <c:v>19391</c:v>
                </c:pt>
                <c:pt idx="50">
                  <c:v>19419</c:v>
                </c:pt>
                <c:pt idx="51">
                  <c:v>19450</c:v>
                </c:pt>
                <c:pt idx="52">
                  <c:v>19480</c:v>
                </c:pt>
                <c:pt idx="53">
                  <c:v>19511</c:v>
                </c:pt>
                <c:pt idx="54">
                  <c:v>19541</c:v>
                </c:pt>
                <c:pt idx="55">
                  <c:v>19572</c:v>
                </c:pt>
                <c:pt idx="56">
                  <c:v>19603</c:v>
                </c:pt>
                <c:pt idx="57">
                  <c:v>19633</c:v>
                </c:pt>
                <c:pt idx="58">
                  <c:v>19664</c:v>
                </c:pt>
                <c:pt idx="59">
                  <c:v>19694</c:v>
                </c:pt>
                <c:pt idx="60">
                  <c:v>19725</c:v>
                </c:pt>
                <c:pt idx="61">
                  <c:v>19756</c:v>
                </c:pt>
                <c:pt idx="62">
                  <c:v>19784</c:v>
                </c:pt>
                <c:pt idx="63">
                  <c:v>19815</c:v>
                </c:pt>
                <c:pt idx="64">
                  <c:v>19845</c:v>
                </c:pt>
                <c:pt idx="65">
                  <c:v>19876</c:v>
                </c:pt>
                <c:pt idx="66">
                  <c:v>19906</c:v>
                </c:pt>
                <c:pt idx="67">
                  <c:v>19937</c:v>
                </c:pt>
                <c:pt idx="68">
                  <c:v>19968</c:v>
                </c:pt>
                <c:pt idx="69">
                  <c:v>19998</c:v>
                </c:pt>
                <c:pt idx="70">
                  <c:v>20029</c:v>
                </c:pt>
                <c:pt idx="71">
                  <c:v>20059</c:v>
                </c:pt>
                <c:pt idx="72">
                  <c:v>20090</c:v>
                </c:pt>
                <c:pt idx="73">
                  <c:v>20121</c:v>
                </c:pt>
                <c:pt idx="74">
                  <c:v>20149</c:v>
                </c:pt>
                <c:pt idx="75">
                  <c:v>20180</c:v>
                </c:pt>
                <c:pt idx="76">
                  <c:v>20210</c:v>
                </c:pt>
                <c:pt idx="77">
                  <c:v>20241</c:v>
                </c:pt>
                <c:pt idx="78">
                  <c:v>20271</c:v>
                </c:pt>
                <c:pt idx="79">
                  <c:v>20302</c:v>
                </c:pt>
                <c:pt idx="80">
                  <c:v>20333</c:v>
                </c:pt>
                <c:pt idx="81">
                  <c:v>20363</c:v>
                </c:pt>
                <c:pt idx="82">
                  <c:v>20394</c:v>
                </c:pt>
                <c:pt idx="83">
                  <c:v>20424</c:v>
                </c:pt>
                <c:pt idx="84">
                  <c:v>20455</c:v>
                </c:pt>
                <c:pt idx="85">
                  <c:v>20486</c:v>
                </c:pt>
                <c:pt idx="86">
                  <c:v>20515</c:v>
                </c:pt>
                <c:pt idx="87">
                  <c:v>20546</c:v>
                </c:pt>
                <c:pt idx="88">
                  <c:v>20576</c:v>
                </c:pt>
                <c:pt idx="89">
                  <c:v>20607</c:v>
                </c:pt>
                <c:pt idx="90">
                  <c:v>20637</c:v>
                </c:pt>
                <c:pt idx="91">
                  <c:v>20668</c:v>
                </c:pt>
                <c:pt idx="92">
                  <c:v>20699</c:v>
                </c:pt>
                <c:pt idx="93">
                  <c:v>20729</c:v>
                </c:pt>
                <c:pt idx="94">
                  <c:v>20760</c:v>
                </c:pt>
                <c:pt idx="95">
                  <c:v>20790</c:v>
                </c:pt>
                <c:pt idx="96">
                  <c:v>20821</c:v>
                </c:pt>
                <c:pt idx="97">
                  <c:v>20852</c:v>
                </c:pt>
                <c:pt idx="98">
                  <c:v>20880</c:v>
                </c:pt>
                <c:pt idx="99">
                  <c:v>20911</c:v>
                </c:pt>
                <c:pt idx="100">
                  <c:v>20941</c:v>
                </c:pt>
                <c:pt idx="101">
                  <c:v>20972</c:v>
                </c:pt>
                <c:pt idx="102">
                  <c:v>21002</c:v>
                </c:pt>
                <c:pt idx="103">
                  <c:v>21033</c:v>
                </c:pt>
                <c:pt idx="104">
                  <c:v>21064</c:v>
                </c:pt>
                <c:pt idx="105">
                  <c:v>21094</c:v>
                </c:pt>
                <c:pt idx="106">
                  <c:v>21125</c:v>
                </c:pt>
                <c:pt idx="107">
                  <c:v>21155</c:v>
                </c:pt>
                <c:pt idx="108">
                  <c:v>21186</c:v>
                </c:pt>
                <c:pt idx="109">
                  <c:v>21217</c:v>
                </c:pt>
                <c:pt idx="110">
                  <c:v>21245</c:v>
                </c:pt>
                <c:pt idx="111">
                  <c:v>21276</c:v>
                </c:pt>
                <c:pt idx="112">
                  <c:v>21306</c:v>
                </c:pt>
                <c:pt idx="113">
                  <c:v>21337</c:v>
                </c:pt>
                <c:pt idx="114">
                  <c:v>21367</c:v>
                </c:pt>
                <c:pt idx="115">
                  <c:v>21398</c:v>
                </c:pt>
                <c:pt idx="116">
                  <c:v>21429</c:v>
                </c:pt>
                <c:pt idx="117">
                  <c:v>21459</c:v>
                </c:pt>
                <c:pt idx="118">
                  <c:v>21490</c:v>
                </c:pt>
                <c:pt idx="119">
                  <c:v>21520</c:v>
                </c:pt>
                <c:pt idx="120">
                  <c:v>21551</c:v>
                </c:pt>
                <c:pt idx="121">
                  <c:v>21582</c:v>
                </c:pt>
                <c:pt idx="122">
                  <c:v>21610</c:v>
                </c:pt>
                <c:pt idx="123">
                  <c:v>21641</c:v>
                </c:pt>
                <c:pt idx="124">
                  <c:v>21671</c:v>
                </c:pt>
                <c:pt idx="125">
                  <c:v>21702</c:v>
                </c:pt>
                <c:pt idx="126">
                  <c:v>21732</c:v>
                </c:pt>
                <c:pt idx="127">
                  <c:v>21763</c:v>
                </c:pt>
                <c:pt idx="128">
                  <c:v>21794</c:v>
                </c:pt>
                <c:pt idx="129">
                  <c:v>21824</c:v>
                </c:pt>
                <c:pt idx="130">
                  <c:v>21855</c:v>
                </c:pt>
                <c:pt idx="131">
                  <c:v>21885</c:v>
                </c:pt>
                <c:pt idx="132">
                  <c:v>21916</c:v>
                </c:pt>
                <c:pt idx="133">
                  <c:v>21947</c:v>
                </c:pt>
                <c:pt idx="134">
                  <c:v>21976</c:v>
                </c:pt>
                <c:pt idx="135">
                  <c:v>22007</c:v>
                </c:pt>
                <c:pt idx="136">
                  <c:v>22037</c:v>
                </c:pt>
                <c:pt idx="137">
                  <c:v>22068</c:v>
                </c:pt>
                <c:pt idx="138">
                  <c:v>22098</c:v>
                </c:pt>
                <c:pt idx="139">
                  <c:v>22129</c:v>
                </c:pt>
                <c:pt idx="140">
                  <c:v>22160</c:v>
                </c:pt>
                <c:pt idx="141">
                  <c:v>22190</c:v>
                </c:pt>
                <c:pt idx="142">
                  <c:v>22221</c:v>
                </c:pt>
                <c:pt idx="143">
                  <c:v>22251</c:v>
                </c:pt>
              </c:numCache>
            </c:numRef>
          </c:cat>
          <c:val>
            <c:numRef>
              <c:f>Analysis!$B$2:$B$145</c:f>
              <c:numCache>
                <c:formatCode>General</c:formatCode>
                <c:ptCount val="144"/>
                <c:pt idx="0">
                  <c:v>112</c:v>
                </c:pt>
                <c:pt idx="1">
                  <c:v>118</c:v>
                </c:pt>
                <c:pt idx="2">
                  <c:v>132</c:v>
                </c:pt>
                <c:pt idx="3">
                  <c:v>129</c:v>
                </c:pt>
                <c:pt idx="4">
                  <c:v>121</c:v>
                </c:pt>
                <c:pt idx="5">
                  <c:v>135</c:v>
                </c:pt>
                <c:pt idx="6">
                  <c:v>148</c:v>
                </c:pt>
                <c:pt idx="7">
                  <c:v>148</c:v>
                </c:pt>
                <c:pt idx="8">
                  <c:v>136</c:v>
                </c:pt>
                <c:pt idx="9">
                  <c:v>119</c:v>
                </c:pt>
                <c:pt idx="10">
                  <c:v>104</c:v>
                </c:pt>
                <c:pt idx="11">
                  <c:v>118</c:v>
                </c:pt>
                <c:pt idx="12">
                  <c:v>115</c:v>
                </c:pt>
                <c:pt idx="13">
                  <c:v>126</c:v>
                </c:pt>
                <c:pt idx="14">
                  <c:v>141</c:v>
                </c:pt>
                <c:pt idx="15">
                  <c:v>135</c:v>
                </c:pt>
                <c:pt idx="16">
                  <c:v>125</c:v>
                </c:pt>
                <c:pt idx="17">
                  <c:v>149</c:v>
                </c:pt>
                <c:pt idx="18">
                  <c:v>170</c:v>
                </c:pt>
                <c:pt idx="19">
                  <c:v>170</c:v>
                </c:pt>
                <c:pt idx="20">
                  <c:v>158</c:v>
                </c:pt>
                <c:pt idx="21">
                  <c:v>133</c:v>
                </c:pt>
                <c:pt idx="22">
                  <c:v>114</c:v>
                </c:pt>
                <c:pt idx="23">
                  <c:v>140</c:v>
                </c:pt>
                <c:pt idx="24">
                  <c:v>145</c:v>
                </c:pt>
                <c:pt idx="25">
                  <c:v>150</c:v>
                </c:pt>
                <c:pt idx="26">
                  <c:v>178</c:v>
                </c:pt>
                <c:pt idx="27">
                  <c:v>163</c:v>
                </c:pt>
                <c:pt idx="28">
                  <c:v>172</c:v>
                </c:pt>
                <c:pt idx="29">
                  <c:v>178</c:v>
                </c:pt>
                <c:pt idx="30">
                  <c:v>199</c:v>
                </c:pt>
                <c:pt idx="31">
                  <c:v>199</c:v>
                </c:pt>
                <c:pt idx="32">
                  <c:v>184</c:v>
                </c:pt>
                <c:pt idx="33">
                  <c:v>162</c:v>
                </c:pt>
                <c:pt idx="34">
                  <c:v>146</c:v>
                </c:pt>
                <c:pt idx="35">
                  <c:v>166</c:v>
                </c:pt>
                <c:pt idx="36">
                  <c:v>171</c:v>
                </c:pt>
                <c:pt idx="37">
                  <c:v>180</c:v>
                </c:pt>
                <c:pt idx="38">
                  <c:v>193</c:v>
                </c:pt>
                <c:pt idx="39">
                  <c:v>181</c:v>
                </c:pt>
                <c:pt idx="40">
                  <c:v>183</c:v>
                </c:pt>
                <c:pt idx="41">
                  <c:v>218</c:v>
                </c:pt>
                <c:pt idx="42">
                  <c:v>230</c:v>
                </c:pt>
                <c:pt idx="43">
                  <c:v>242</c:v>
                </c:pt>
                <c:pt idx="44">
                  <c:v>209</c:v>
                </c:pt>
                <c:pt idx="45">
                  <c:v>191</c:v>
                </c:pt>
                <c:pt idx="46">
                  <c:v>172</c:v>
                </c:pt>
                <c:pt idx="47">
                  <c:v>194</c:v>
                </c:pt>
                <c:pt idx="48">
                  <c:v>196</c:v>
                </c:pt>
                <c:pt idx="49">
                  <c:v>196</c:v>
                </c:pt>
                <c:pt idx="50">
                  <c:v>236</c:v>
                </c:pt>
                <c:pt idx="51">
                  <c:v>235</c:v>
                </c:pt>
                <c:pt idx="52">
                  <c:v>229</c:v>
                </c:pt>
                <c:pt idx="53">
                  <c:v>243</c:v>
                </c:pt>
                <c:pt idx="54">
                  <c:v>264</c:v>
                </c:pt>
                <c:pt idx="55">
                  <c:v>272</c:v>
                </c:pt>
                <c:pt idx="56">
                  <c:v>237</c:v>
                </c:pt>
                <c:pt idx="57">
                  <c:v>211</c:v>
                </c:pt>
                <c:pt idx="58">
                  <c:v>180</c:v>
                </c:pt>
                <c:pt idx="59">
                  <c:v>201</c:v>
                </c:pt>
                <c:pt idx="60">
                  <c:v>204</c:v>
                </c:pt>
                <c:pt idx="61">
                  <c:v>188</c:v>
                </c:pt>
                <c:pt idx="62">
                  <c:v>235</c:v>
                </c:pt>
                <c:pt idx="63">
                  <c:v>227</c:v>
                </c:pt>
                <c:pt idx="64">
                  <c:v>234</c:v>
                </c:pt>
                <c:pt idx="65">
                  <c:v>264</c:v>
                </c:pt>
                <c:pt idx="66">
                  <c:v>302</c:v>
                </c:pt>
                <c:pt idx="67">
                  <c:v>293</c:v>
                </c:pt>
                <c:pt idx="68">
                  <c:v>259</c:v>
                </c:pt>
                <c:pt idx="69">
                  <c:v>229</c:v>
                </c:pt>
                <c:pt idx="70">
                  <c:v>203</c:v>
                </c:pt>
                <c:pt idx="71">
                  <c:v>229</c:v>
                </c:pt>
                <c:pt idx="72">
                  <c:v>242</c:v>
                </c:pt>
                <c:pt idx="73">
                  <c:v>233</c:v>
                </c:pt>
                <c:pt idx="74">
                  <c:v>267</c:v>
                </c:pt>
                <c:pt idx="75">
                  <c:v>269</c:v>
                </c:pt>
                <c:pt idx="76">
                  <c:v>270</c:v>
                </c:pt>
                <c:pt idx="77">
                  <c:v>315</c:v>
                </c:pt>
                <c:pt idx="78">
                  <c:v>364</c:v>
                </c:pt>
                <c:pt idx="79">
                  <c:v>347</c:v>
                </c:pt>
                <c:pt idx="80">
                  <c:v>312</c:v>
                </c:pt>
                <c:pt idx="81">
                  <c:v>274</c:v>
                </c:pt>
                <c:pt idx="82">
                  <c:v>237</c:v>
                </c:pt>
                <c:pt idx="83">
                  <c:v>278</c:v>
                </c:pt>
                <c:pt idx="84">
                  <c:v>284</c:v>
                </c:pt>
                <c:pt idx="85">
                  <c:v>277</c:v>
                </c:pt>
                <c:pt idx="86">
                  <c:v>317</c:v>
                </c:pt>
                <c:pt idx="87">
                  <c:v>313</c:v>
                </c:pt>
                <c:pt idx="88">
                  <c:v>318</c:v>
                </c:pt>
                <c:pt idx="89">
                  <c:v>374</c:v>
                </c:pt>
                <c:pt idx="90">
                  <c:v>413</c:v>
                </c:pt>
                <c:pt idx="91">
                  <c:v>405</c:v>
                </c:pt>
                <c:pt idx="92">
                  <c:v>355</c:v>
                </c:pt>
                <c:pt idx="93">
                  <c:v>306</c:v>
                </c:pt>
                <c:pt idx="94">
                  <c:v>271</c:v>
                </c:pt>
                <c:pt idx="95">
                  <c:v>306</c:v>
                </c:pt>
                <c:pt idx="96">
                  <c:v>315</c:v>
                </c:pt>
                <c:pt idx="97">
                  <c:v>301</c:v>
                </c:pt>
                <c:pt idx="98">
                  <c:v>356</c:v>
                </c:pt>
                <c:pt idx="99">
                  <c:v>348</c:v>
                </c:pt>
                <c:pt idx="100">
                  <c:v>355</c:v>
                </c:pt>
                <c:pt idx="101">
                  <c:v>422</c:v>
                </c:pt>
                <c:pt idx="102">
                  <c:v>465</c:v>
                </c:pt>
                <c:pt idx="103">
                  <c:v>467</c:v>
                </c:pt>
                <c:pt idx="104">
                  <c:v>404</c:v>
                </c:pt>
                <c:pt idx="105">
                  <c:v>347</c:v>
                </c:pt>
                <c:pt idx="106">
                  <c:v>305</c:v>
                </c:pt>
                <c:pt idx="107">
                  <c:v>336</c:v>
                </c:pt>
                <c:pt idx="108">
                  <c:v>340</c:v>
                </c:pt>
                <c:pt idx="109">
                  <c:v>318</c:v>
                </c:pt>
                <c:pt idx="110">
                  <c:v>362</c:v>
                </c:pt>
                <c:pt idx="111">
                  <c:v>348</c:v>
                </c:pt>
                <c:pt idx="112">
                  <c:v>363</c:v>
                </c:pt>
                <c:pt idx="113">
                  <c:v>435</c:v>
                </c:pt>
                <c:pt idx="114">
                  <c:v>491</c:v>
                </c:pt>
                <c:pt idx="115">
                  <c:v>505</c:v>
                </c:pt>
                <c:pt idx="116">
                  <c:v>404</c:v>
                </c:pt>
                <c:pt idx="117">
                  <c:v>359</c:v>
                </c:pt>
                <c:pt idx="118">
                  <c:v>310</c:v>
                </c:pt>
                <c:pt idx="119">
                  <c:v>337</c:v>
                </c:pt>
                <c:pt idx="120">
                  <c:v>360</c:v>
                </c:pt>
                <c:pt idx="121">
                  <c:v>342</c:v>
                </c:pt>
                <c:pt idx="122">
                  <c:v>406</c:v>
                </c:pt>
                <c:pt idx="123">
                  <c:v>396</c:v>
                </c:pt>
                <c:pt idx="124">
                  <c:v>420</c:v>
                </c:pt>
                <c:pt idx="125">
                  <c:v>472</c:v>
                </c:pt>
                <c:pt idx="126">
                  <c:v>548</c:v>
                </c:pt>
                <c:pt idx="127">
                  <c:v>559</c:v>
                </c:pt>
                <c:pt idx="128">
                  <c:v>463</c:v>
                </c:pt>
                <c:pt idx="129">
                  <c:v>407</c:v>
                </c:pt>
                <c:pt idx="130">
                  <c:v>362</c:v>
                </c:pt>
                <c:pt idx="131">
                  <c:v>405</c:v>
                </c:pt>
                <c:pt idx="132">
                  <c:v>417</c:v>
                </c:pt>
                <c:pt idx="133">
                  <c:v>391</c:v>
                </c:pt>
                <c:pt idx="134">
                  <c:v>419</c:v>
                </c:pt>
                <c:pt idx="135">
                  <c:v>461</c:v>
                </c:pt>
                <c:pt idx="136">
                  <c:v>472</c:v>
                </c:pt>
                <c:pt idx="137">
                  <c:v>535</c:v>
                </c:pt>
                <c:pt idx="138">
                  <c:v>622</c:v>
                </c:pt>
                <c:pt idx="139">
                  <c:v>606</c:v>
                </c:pt>
                <c:pt idx="140">
                  <c:v>508</c:v>
                </c:pt>
                <c:pt idx="141">
                  <c:v>461</c:v>
                </c:pt>
                <c:pt idx="142">
                  <c:v>390</c:v>
                </c:pt>
                <c:pt idx="143">
                  <c:v>432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00832"/>
        <c:axId val="109806720"/>
      </c:lineChart>
      <c:dateAx>
        <c:axId val="109800832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crossAx val="109806720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109806720"/>
        <c:scaling>
          <c:orientation val="minMax"/>
          <c:max val="65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098008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1268666847678519E-2"/>
          <c:y val="3.0135899679206764E-2"/>
          <c:w val="0.90976581591094219"/>
          <c:h val="0.920098376591814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Analysis!$H$66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Analysis!$H$67:$H$90</c:f>
              <c:numCache>
                <c:formatCode>0.00%</c:formatCode>
                <c:ptCount val="24"/>
                <c:pt idx="0">
                  <c:v>0.95370336924314891</c:v>
                </c:pt>
                <c:pt idx="1">
                  <c:v>0.89891594579252387</c:v>
                </c:pt>
                <c:pt idx="2">
                  <c:v>0.8508024875083261</c:v>
                </c:pt>
                <c:pt idx="3">
                  <c:v>0.80842516872015957</c:v>
                </c:pt>
                <c:pt idx="4">
                  <c:v>0.77889939059537328</c:v>
                </c:pt>
                <c:pt idx="5">
                  <c:v>0.75644222251490778</c:v>
                </c:pt>
                <c:pt idx="6">
                  <c:v>0.73760171341165703</c:v>
                </c:pt>
                <c:pt idx="7">
                  <c:v>0.72713134977295557</c:v>
                </c:pt>
                <c:pt idx="8">
                  <c:v>0.73364870077105859</c:v>
                </c:pt>
                <c:pt idx="9">
                  <c:v>0.74425524868868498</c:v>
                </c:pt>
                <c:pt idx="10">
                  <c:v>0.75802664972940037</c:v>
                </c:pt>
                <c:pt idx="11">
                  <c:v>0.76194291840132722</c:v>
                </c:pt>
                <c:pt idx="12">
                  <c:v>0.71650448116823462</c:v>
                </c:pt>
                <c:pt idx="13">
                  <c:v>0.66304278889300872</c:v>
                </c:pt>
                <c:pt idx="14">
                  <c:v>0.61836285662777835</c:v>
                </c:pt>
                <c:pt idx="15">
                  <c:v>0.57620872814745572</c:v>
                </c:pt>
                <c:pt idx="16">
                  <c:v>0.54380131946480392</c:v>
                </c:pt>
                <c:pt idx="17">
                  <c:v>0.5194561142234233</c:v>
                </c:pt>
                <c:pt idx="18">
                  <c:v>0.5007029244419916</c:v>
                </c:pt>
                <c:pt idx="19">
                  <c:v>0.49040280469381792</c:v>
                </c:pt>
                <c:pt idx="20">
                  <c:v>0.49818190239203114</c:v>
                </c:pt>
                <c:pt idx="21">
                  <c:v>0.50616663895637359</c:v>
                </c:pt>
                <c:pt idx="22">
                  <c:v>0.5167433870523982</c:v>
                </c:pt>
                <c:pt idx="23">
                  <c:v>0.52048972535473848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551296"/>
        <c:axId val="226552832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Analysis!$I$67:$I$90</c:f>
              <c:numCache>
                <c:formatCode>0.00%</c:formatCode>
                <c:ptCount val="24"/>
                <c:pt idx="0">
                  <c:v>0.16333033204500447</c:v>
                </c:pt>
                <c:pt idx="1">
                  <c:v>0.16333033204500447</c:v>
                </c:pt>
                <c:pt idx="2">
                  <c:v>0.27423450853292841</c:v>
                </c:pt>
                <c:pt idx="3">
                  <c:v>0.34397228284107734</c:v>
                </c:pt>
                <c:pt idx="4">
                  <c:v>0.39615366264147545</c:v>
                </c:pt>
                <c:pt idx="5">
                  <c:v>0.43795779835018261</c:v>
                </c:pt>
                <c:pt idx="6">
                  <c:v>0.47347208926157186</c:v>
                </c:pt>
                <c:pt idx="7">
                  <c:v>0.50468307306016258</c:v>
                </c:pt>
                <c:pt idx="8">
                  <c:v>0.53266533857091303</c:v>
                </c:pt>
                <c:pt idx="9">
                  <c:v>0.55851721147340938</c:v>
                </c:pt>
                <c:pt idx="10">
                  <c:v>0.58365960674286788</c:v>
                </c:pt>
                <c:pt idx="11">
                  <c:v>0.60845044142003868</c:v>
                </c:pt>
                <c:pt idx="12">
                  <c:v>0.63314228262191208</c:v>
                </c:pt>
                <c:pt idx="13">
                  <c:v>0.6571483497065852</c:v>
                </c:pt>
                <c:pt idx="14">
                  <c:v>0.67766846695644922</c:v>
                </c:pt>
                <c:pt idx="15">
                  <c:v>0.69475906951085198</c:v>
                </c:pt>
                <c:pt idx="16">
                  <c:v>0.70928916430656697</c:v>
                </c:pt>
                <c:pt idx="17">
                  <c:v>0.72166847811323787</c:v>
                </c:pt>
                <c:pt idx="18">
                  <c:v>0.73251833469882532</c:v>
                </c:pt>
                <c:pt idx="19">
                  <c:v>0.7422801085010291</c:v>
                </c:pt>
                <c:pt idx="20">
                  <c:v>0.75123610673824071</c:v>
                </c:pt>
                <c:pt idx="21">
                  <c:v>0.75972821197838847</c:v>
                </c:pt>
                <c:pt idx="22">
                  <c:v>0.76839347282174952</c:v>
                </c:pt>
                <c:pt idx="23">
                  <c:v>0.77723739553252347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Analysis!$J$67:$J$90</c:f>
              <c:numCache>
                <c:formatCode>0.00%</c:formatCode>
                <c:ptCount val="24"/>
                <c:pt idx="0">
                  <c:v>-0.16333033204500447</c:v>
                </c:pt>
                <c:pt idx="1">
                  <c:v>-0.16333033204500447</c:v>
                </c:pt>
                <c:pt idx="2">
                  <c:v>-0.27423450853292841</c:v>
                </c:pt>
                <c:pt idx="3">
                  <c:v>-0.34397228284107734</c:v>
                </c:pt>
                <c:pt idx="4">
                  <c:v>-0.39615366264147545</c:v>
                </c:pt>
                <c:pt idx="5">
                  <c:v>-0.43795779835018261</c:v>
                </c:pt>
                <c:pt idx="6">
                  <c:v>-0.47347208926157186</c:v>
                </c:pt>
                <c:pt idx="7">
                  <c:v>-0.50468307306016258</c:v>
                </c:pt>
                <c:pt idx="8">
                  <c:v>-0.53266533857091303</c:v>
                </c:pt>
                <c:pt idx="9">
                  <c:v>-0.55851721147340938</c:v>
                </c:pt>
                <c:pt idx="10">
                  <c:v>-0.58365960674286788</c:v>
                </c:pt>
                <c:pt idx="11">
                  <c:v>-0.60845044142003868</c:v>
                </c:pt>
                <c:pt idx="12">
                  <c:v>-0.63314228262191208</c:v>
                </c:pt>
                <c:pt idx="13">
                  <c:v>-0.6571483497065852</c:v>
                </c:pt>
                <c:pt idx="14">
                  <c:v>-0.67766846695644922</c:v>
                </c:pt>
                <c:pt idx="15">
                  <c:v>-0.69475906951085198</c:v>
                </c:pt>
                <c:pt idx="16">
                  <c:v>-0.70928916430656697</c:v>
                </c:pt>
                <c:pt idx="17">
                  <c:v>-0.72166847811323787</c:v>
                </c:pt>
                <c:pt idx="18">
                  <c:v>-0.73251833469882532</c:v>
                </c:pt>
                <c:pt idx="19">
                  <c:v>-0.7422801085010291</c:v>
                </c:pt>
                <c:pt idx="20">
                  <c:v>-0.75123610673824071</c:v>
                </c:pt>
                <c:pt idx="21">
                  <c:v>-0.75972821197838847</c:v>
                </c:pt>
                <c:pt idx="22">
                  <c:v>-0.76839347282174952</c:v>
                </c:pt>
                <c:pt idx="23">
                  <c:v>-0.77723739553252347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551296"/>
        <c:axId val="226552832"/>
      </c:lineChart>
      <c:catAx>
        <c:axId val="226551296"/>
        <c:scaling>
          <c:orientation val="minMax"/>
        </c:scaling>
        <c:delete val="0"/>
        <c:axPos val="b"/>
        <c:majorTickMark val="out"/>
        <c:minorTickMark val="none"/>
        <c:tickLblPos val="low"/>
        <c:crossAx val="226552832"/>
        <c:crosses val="autoZero"/>
        <c:auto val="1"/>
        <c:lblAlgn val="ctr"/>
        <c:lblOffset val="100"/>
        <c:noMultiLvlLbl val="0"/>
      </c:catAx>
      <c:valAx>
        <c:axId val="226552832"/>
        <c:scaling>
          <c:orientation val="minMax"/>
          <c:max val="1"/>
          <c:min val="-1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26551296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5992804778712999E-2"/>
          <c:y val="3.7250310816411093E-2"/>
          <c:w val="0.92684007602497964"/>
          <c:h val="0.904315375051802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Analysis!$K$66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Analysis!$K$67:$K$90</c:f>
              <c:numCache>
                <c:formatCode>0.00%</c:formatCode>
                <c:ptCount val="24"/>
                <c:pt idx="0">
                  <c:v>0.96345329090013609</c:v>
                </c:pt>
                <c:pt idx="1">
                  <c:v>-0.21487080474765444</c:v>
                </c:pt>
                <c:pt idx="2">
                  <c:v>0.15473582370075656</c:v>
                </c:pt>
                <c:pt idx="3">
                  <c:v>8.2873451922860608E-2</c:v>
                </c:pt>
                <c:pt idx="4">
                  <c:v>0.32183142611528209</c:v>
                </c:pt>
                <c:pt idx="5">
                  <c:v>-1.6872181766572791E-2</c:v>
                </c:pt>
                <c:pt idx="6">
                  <c:v>7.3432322700407601E-2</c:v>
                </c:pt>
                <c:pt idx="7">
                  <c:v>0.21452190864121473</c:v>
                </c:pt>
                <c:pt idx="8">
                  <c:v>0.53915721895844804</c:v>
                </c:pt>
                <c:pt idx="9">
                  <c:v>0.22890512532459831</c:v>
                </c:pt>
                <c:pt idx="10">
                  <c:v>0.65092882059337176</c:v>
                </c:pt>
                <c:pt idx="11">
                  <c:v>0.55964403229412163</c:v>
                </c:pt>
                <c:pt idx="12">
                  <c:v>-0.57050535640970301</c:v>
                </c:pt>
                <c:pt idx="13">
                  <c:v>-0.29025410894878595</c:v>
                </c:pt>
                <c:pt idx="14">
                  <c:v>0.11315332780906892</c:v>
                </c:pt>
                <c:pt idx="15">
                  <c:v>-0.14281436956620946</c:v>
                </c:pt>
                <c:pt idx="16">
                  <c:v>1.6820527552019618E-3</c:v>
                </c:pt>
                <c:pt idx="17">
                  <c:v>-1.7058956409929819E-2</c:v>
                </c:pt>
                <c:pt idx="18">
                  <c:v>0.14382641204153818</c:v>
                </c:pt>
                <c:pt idx="19">
                  <c:v>-6.5754734096597031E-2</c:v>
                </c:pt>
                <c:pt idx="20">
                  <c:v>0.16057771334566964</c:v>
                </c:pt>
                <c:pt idx="21">
                  <c:v>0.24847782519902067</c:v>
                </c:pt>
                <c:pt idx="22">
                  <c:v>0.25832588071707174</c:v>
                </c:pt>
                <c:pt idx="23">
                  <c:v>8.1746533908882896E-2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452864"/>
        <c:axId val="86454656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Analysis!$L$67:$L$90</c:f>
              <c:numCache>
                <c:formatCode>0.00%</c:formatCode>
                <c:ptCount val="24"/>
                <c:pt idx="0">
                  <c:v>0.16333033204500447</c:v>
                </c:pt>
                <c:pt idx="1">
                  <c:v>0.16333033204500447</c:v>
                </c:pt>
                <c:pt idx="2">
                  <c:v>0.16333033204500447</c:v>
                </c:pt>
                <c:pt idx="3">
                  <c:v>0.16333033204500447</c:v>
                </c:pt>
                <c:pt idx="4">
                  <c:v>0.16333033204500447</c:v>
                </c:pt>
                <c:pt idx="5">
                  <c:v>0.16333033204500447</c:v>
                </c:pt>
                <c:pt idx="6">
                  <c:v>0.16333033204500447</c:v>
                </c:pt>
                <c:pt idx="7">
                  <c:v>0.16333033204500447</c:v>
                </c:pt>
                <c:pt idx="8">
                  <c:v>0.16333033204500447</c:v>
                </c:pt>
                <c:pt idx="9">
                  <c:v>0.16333033204500447</c:v>
                </c:pt>
                <c:pt idx="10">
                  <c:v>0.16333033204500447</c:v>
                </c:pt>
                <c:pt idx="11">
                  <c:v>0.16333033204500447</c:v>
                </c:pt>
                <c:pt idx="12">
                  <c:v>0.16333033204500447</c:v>
                </c:pt>
                <c:pt idx="13">
                  <c:v>0.16333033204500447</c:v>
                </c:pt>
                <c:pt idx="14">
                  <c:v>0.16333033204500447</c:v>
                </c:pt>
                <c:pt idx="15">
                  <c:v>0.16333033204500447</c:v>
                </c:pt>
                <c:pt idx="16">
                  <c:v>0.16333033204500447</c:v>
                </c:pt>
                <c:pt idx="17">
                  <c:v>0.16333033204500447</c:v>
                </c:pt>
                <c:pt idx="18">
                  <c:v>0.16333033204500447</c:v>
                </c:pt>
                <c:pt idx="19">
                  <c:v>0.16333033204500447</c:v>
                </c:pt>
                <c:pt idx="20">
                  <c:v>0.16333033204500447</c:v>
                </c:pt>
                <c:pt idx="21">
                  <c:v>0.16333033204500447</c:v>
                </c:pt>
                <c:pt idx="22">
                  <c:v>0.16333033204500447</c:v>
                </c:pt>
                <c:pt idx="23">
                  <c:v>0.16333033204500447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Analysis!$M$67:$M$90</c:f>
              <c:numCache>
                <c:formatCode>0.00%</c:formatCode>
                <c:ptCount val="24"/>
                <c:pt idx="0">
                  <c:v>-0.16333033204500447</c:v>
                </c:pt>
                <c:pt idx="1">
                  <c:v>-0.16333033204500447</c:v>
                </c:pt>
                <c:pt idx="2">
                  <c:v>-0.16333033204500447</c:v>
                </c:pt>
                <c:pt idx="3">
                  <c:v>-0.16333033204500447</c:v>
                </c:pt>
                <c:pt idx="4">
                  <c:v>-0.16333033204500447</c:v>
                </c:pt>
                <c:pt idx="5">
                  <c:v>-0.16333033204500447</c:v>
                </c:pt>
                <c:pt idx="6">
                  <c:v>-0.16333033204500447</c:v>
                </c:pt>
                <c:pt idx="7">
                  <c:v>-0.16333033204500447</c:v>
                </c:pt>
                <c:pt idx="8">
                  <c:v>-0.16333033204500447</c:v>
                </c:pt>
                <c:pt idx="9">
                  <c:v>-0.16333033204500447</c:v>
                </c:pt>
                <c:pt idx="10">
                  <c:v>-0.16333033204500447</c:v>
                </c:pt>
                <c:pt idx="11">
                  <c:v>-0.16333033204500447</c:v>
                </c:pt>
                <c:pt idx="12">
                  <c:v>-0.16333033204500447</c:v>
                </c:pt>
                <c:pt idx="13">
                  <c:v>-0.16333033204500447</c:v>
                </c:pt>
                <c:pt idx="14">
                  <c:v>-0.16333033204500447</c:v>
                </c:pt>
                <c:pt idx="15">
                  <c:v>-0.16333033204500447</c:v>
                </c:pt>
                <c:pt idx="16">
                  <c:v>-0.16333033204500447</c:v>
                </c:pt>
                <c:pt idx="17">
                  <c:v>-0.16333033204500447</c:v>
                </c:pt>
                <c:pt idx="18">
                  <c:v>-0.16333033204500447</c:v>
                </c:pt>
                <c:pt idx="19">
                  <c:v>-0.16333033204500447</c:v>
                </c:pt>
                <c:pt idx="20">
                  <c:v>-0.16333033204500447</c:v>
                </c:pt>
                <c:pt idx="21">
                  <c:v>-0.16333033204500447</c:v>
                </c:pt>
                <c:pt idx="22">
                  <c:v>-0.16333033204500447</c:v>
                </c:pt>
                <c:pt idx="23">
                  <c:v>-0.16333033204500447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452864"/>
        <c:axId val="86454656"/>
      </c:lineChart>
      <c:catAx>
        <c:axId val="86452864"/>
        <c:scaling>
          <c:orientation val="minMax"/>
        </c:scaling>
        <c:delete val="0"/>
        <c:axPos val="b"/>
        <c:majorTickMark val="out"/>
        <c:minorTickMark val="none"/>
        <c:tickLblPos val="low"/>
        <c:crossAx val="86454656"/>
        <c:crosses val="autoZero"/>
        <c:auto val="1"/>
        <c:lblAlgn val="ctr"/>
        <c:lblOffset val="100"/>
        <c:noMultiLvlLbl val="0"/>
      </c:catAx>
      <c:valAx>
        <c:axId val="86454656"/>
        <c:scaling>
          <c:orientation val="minMax"/>
          <c:max val="1"/>
          <c:min val="-0.8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86452864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(1-L)x(1-L^12)LOG(x)</a:t>
            </a:r>
          </a:p>
        </c:rich>
      </c:tx>
      <c:layout/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Analysis!$A$2:$A$145</c:f>
              <c:numCache>
                <c:formatCode>[$-409]mmm\-yy;@</c:formatCode>
                <c:ptCount val="144"/>
                <c:pt idx="0">
                  <c:v>17899</c:v>
                </c:pt>
                <c:pt idx="1">
                  <c:v>17930</c:v>
                </c:pt>
                <c:pt idx="2">
                  <c:v>17958</c:v>
                </c:pt>
                <c:pt idx="3">
                  <c:v>17989</c:v>
                </c:pt>
                <c:pt idx="4">
                  <c:v>18019</c:v>
                </c:pt>
                <c:pt idx="5">
                  <c:v>18050</c:v>
                </c:pt>
                <c:pt idx="6">
                  <c:v>18080</c:v>
                </c:pt>
                <c:pt idx="7">
                  <c:v>18111</c:v>
                </c:pt>
                <c:pt idx="8">
                  <c:v>18142</c:v>
                </c:pt>
                <c:pt idx="9">
                  <c:v>18172</c:v>
                </c:pt>
                <c:pt idx="10">
                  <c:v>18203</c:v>
                </c:pt>
                <c:pt idx="11">
                  <c:v>18233</c:v>
                </c:pt>
                <c:pt idx="12">
                  <c:v>18264</c:v>
                </c:pt>
                <c:pt idx="13">
                  <c:v>18295</c:v>
                </c:pt>
                <c:pt idx="14">
                  <c:v>18323</c:v>
                </c:pt>
                <c:pt idx="15">
                  <c:v>18354</c:v>
                </c:pt>
                <c:pt idx="16">
                  <c:v>18384</c:v>
                </c:pt>
                <c:pt idx="17">
                  <c:v>18415</c:v>
                </c:pt>
                <c:pt idx="18">
                  <c:v>18445</c:v>
                </c:pt>
                <c:pt idx="19">
                  <c:v>18476</c:v>
                </c:pt>
                <c:pt idx="20">
                  <c:v>18507</c:v>
                </c:pt>
                <c:pt idx="21">
                  <c:v>18537</c:v>
                </c:pt>
                <c:pt idx="22">
                  <c:v>18568</c:v>
                </c:pt>
                <c:pt idx="23">
                  <c:v>18598</c:v>
                </c:pt>
                <c:pt idx="24">
                  <c:v>18629</c:v>
                </c:pt>
                <c:pt idx="25">
                  <c:v>18660</c:v>
                </c:pt>
                <c:pt idx="26">
                  <c:v>18688</c:v>
                </c:pt>
                <c:pt idx="27">
                  <c:v>18719</c:v>
                </c:pt>
                <c:pt idx="28">
                  <c:v>18749</c:v>
                </c:pt>
                <c:pt idx="29">
                  <c:v>18780</c:v>
                </c:pt>
                <c:pt idx="30">
                  <c:v>18810</c:v>
                </c:pt>
                <c:pt idx="31">
                  <c:v>18841</c:v>
                </c:pt>
                <c:pt idx="32">
                  <c:v>18872</c:v>
                </c:pt>
                <c:pt idx="33">
                  <c:v>18902</c:v>
                </c:pt>
                <c:pt idx="34">
                  <c:v>18933</c:v>
                </c:pt>
                <c:pt idx="35">
                  <c:v>18963</c:v>
                </c:pt>
                <c:pt idx="36">
                  <c:v>18994</c:v>
                </c:pt>
                <c:pt idx="37">
                  <c:v>19025</c:v>
                </c:pt>
                <c:pt idx="38">
                  <c:v>19054</c:v>
                </c:pt>
                <c:pt idx="39">
                  <c:v>19085</c:v>
                </c:pt>
                <c:pt idx="40">
                  <c:v>19115</c:v>
                </c:pt>
                <c:pt idx="41">
                  <c:v>19146</c:v>
                </c:pt>
                <c:pt idx="42">
                  <c:v>19176</c:v>
                </c:pt>
                <c:pt idx="43">
                  <c:v>19207</c:v>
                </c:pt>
                <c:pt idx="44">
                  <c:v>19238</c:v>
                </c:pt>
                <c:pt idx="45">
                  <c:v>19268</c:v>
                </c:pt>
                <c:pt idx="46">
                  <c:v>19299</c:v>
                </c:pt>
                <c:pt idx="47">
                  <c:v>19329</c:v>
                </c:pt>
                <c:pt idx="48">
                  <c:v>19360</c:v>
                </c:pt>
                <c:pt idx="49">
                  <c:v>19391</c:v>
                </c:pt>
                <c:pt idx="50">
                  <c:v>19419</c:v>
                </c:pt>
                <c:pt idx="51">
                  <c:v>19450</c:v>
                </c:pt>
                <c:pt idx="52">
                  <c:v>19480</c:v>
                </c:pt>
                <c:pt idx="53">
                  <c:v>19511</c:v>
                </c:pt>
                <c:pt idx="54">
                  <c:v>19541</c:v>
                </c:pt>
                <c:pt idx="55">
                  <c:v>19572</c:v>
                </c:pt>
                <c:pt idx="56">
                  <c:v>19603</c:v>
                </c:pt>
                <c:pt idx="57">
                  <c:v>19633</c:v>
                </c:pt>
                <c:pt idx="58">
                  <c:v>19664</c:v>
                </c:pt>
                <c:pt idx="59">
                  <c:v>19694</c:v>
                </c:pt>
                <c:pt idx="60">
                  <c:v>19725</c:v>
                </c:pt>
                <c:pt idx="61">
                  <c:v>19756</c:v>
                </c:pt>
                <c:pt idx="62">
                  <c:v>19784</c:v>
                </c:pt>
                <c:pt idx="63">
                  <c:v>19815</c:v>
                </c:pt>
                <c:pt idx="64">
                  <c:v>19845</c:v>
                </c:pt>
                <c:pt idx="65">
                  <c:v>19876</c:v>
                </c:pt>
                <c:pt idx="66">
                  <c:v>19906</c:v>
                </c:pt>
                <c:pt idx="67">
                  <c:v>19937</c:v>
                </c:pt>
                <c:pt idx="68">
                  <c:v>19968</c:v>
                </c:pt>
                <c:pt idx="69">
                  <c:v>19998</c:v>
                </c:pt>
                <c:pt idx="70">
                  <c:v>20029</c:v>
                </c:pt>
                <c:pt idx="71">
                  <c:v>20059</c:v>
                </c:pt>
                <c:pt idx="72">
                  <c:v>20090</c:v>
                </c:pt>
                <c:pt idx="73">
                  <c:v>20121</c:v>
                </c:pt>
                <c:pt idx="74">
                  <c:v>20149</c:v>
                </c:pt>
                <c:pt idx="75">
                  <c:v>20180</c:v>
                </c:pt>
                <c:pt idx="76">
                  <c:v>20210</c:v>
                </c:pt>
                <c:pt idx="77">
                  <c:v>20241</c:v>
                </c:pt>
                <c:pt idx="78">
                  <c:v>20271</c:v>
                </c:pt>
                <c:pt idx="79">
                  <c:v>20302</c:v>
                </c:pt>
                <c:pt idx="80">
                  <c:v>20333</c:v>
                </c:pt>
                <c:pt idx="81">
                  <c:v>20363</c:v>
                </c:pt>
                <c:pt idx="82">
                  <c:v>20394</c:v>
                </c:pt>
                <c:pt idx="83">
                  <c:v>20424</c:v>
                </c:pt>
                <c:pt idx="84">
                  <c:v>20455</c:v>
                </c:pt>
                <c:pt idx="85">
                  <c:v>20486</c:v>
                </c:pt>
                <c:pt idx="86">
                  <c:v>20515</c:v>
                </c:pt>
                <c:pt idx="87">
                  <c:v>20546</c:v>
                </c:pt>
                <c:pt idx="88">
                  <c:v>20576</c:v>
                </c:pt>
                <c:pt idx="89">
                  <c:v>20607</c:v>
                </c:pt>
                <c:pt idx="90">
                  <c:v>20637</c:v>
                </c:pt>
                <c:pt idx="91">
                  <c:v>20668</c:v>
                </c:pt>
                <c:pt idx="92">
                  <c:v>20699</c:v>
                </c:pt>
                <c:pt idx="93">
                  <c:v>20729</c:v>
                </c:pt>
                <c:pt idx="94">
                  <c:v>20760</c:v>
                </c:pt>
                <c:pt idx="95">
                  <c:v>20790</c:v>
                </c:pt>
                <c:pt idx="96">
                  <c:v>20821</c:v>
                </c:pt>
                <c:pt idx="97">
                  <c:v>20852</c:v>
                </c:pt>
                <c:pt idx="98">
                  <c:v>20880</c:v>
                </c:pt>
                <c:pt idx="99">
                  <c:v>20911</c:v>
                </c:pt>
                <c:pt idx="100">
                  <c:v>20941</c:v>
                </c:pt>
                <c:pt idx="101">
                  <c:v>20972</c:v>
                </c:pt>
                <c:pt idx="102">
                  <c:v>21002</c:v>
                </c:pt>
                <c:pt idx="103">
                  <c:v>21033</c:v>
                </c:pt>
                <c:pt idx="104">
                  <c:v>21064</c:v>
                </c:pt>
                <c:pt idx="105">
                  <c:v>21094</c:v>
                </c:pt>
                <c:pt idx="106">
                  <c:v>21125</c:v>
                </c:pt>
                <c:pt idx="107">
                  <c:v>21155</c:v>
                </c:pt>
                <c:pt idx="108">
                  <c:v>21186</c:v>
                </c:pt>
                <c:pt idx="109">
                  <c:v>21217</c:v>
                </c:pt>
                <c:pt idx="110">
                  <c:v>21245</c:v>
                </c:pt>
                <c:pt idx="111">
                  <c:v>21276</c:v>
                </c:pt>
                <c:pt idx="112">
                  <c:v>21306</c:v>
                </c:pt>
                <c:pt idx="113">
                  <c:v>21337</c:v>
                </c:pt>
                <c:pt idx="114">
                  <c:v>21367</c:v>
                </c:pt>
                <c:pt idx="115">
                  <c:v>21398</c:v>
                </c:pt>
                <c:pt idx="116">
                  <c:v>21429</c:v>
                </c:pt>
                <c:pt idx="117">
                  <c:v>21459</c:v>
                </c:pt>
                <c:pt idx="118">
                  <c:v>21490</c:v>
                </c:pt>
                <c:pt idx="119">
                  <c:v>21520</c:v>
                </c:pt>
                <c:pt idx="120">
                  <c:v>21551</c:v>
                </c:pt>
                <c:pt idx="121">
                  <c:v>21582</c:v>
                </c:pt>
                <c:pt idx="122">
                  <c:v>21610</c:v>
                </c:pt>
                <c:pt idx="123">
                  <c:v>21641</c:v>
                </c:pt>
                <c:pt idx="124">
                  <c:v>21671</c:v>
                </c:pt>
                <c:pt idx="125">
                  <c:v>21702</c:v>
                </c:pt>
                <c:pt idx="126">
                  <c:v>21732</c:v>
                </c:pt>
                <c:pt idx="127">
                  <c:v>21763</c:v>
                </c:pt>
                <c:pt idx="128">
                  <c:v>21794</c:v>
                </c:pt>
                <c:pt idx="129">
                  <c:v>21824</c:v>
                </c:pt>
                <c:pt idx="130">
                  <c:v>21855</c:v>
                </c:pt>
                <c:pt idx="131">
                  <c:v>21885</c:v>
                </c:pt>
                <c:pt idx="132">
                  <c:v>21916</c:v>
                </c:pt>
                <c:pt idx="133">
                  <c:v>21947</c:v>
                </c:pt>
                <c:pt idx="134">
                  <c:v>21976</c:v>
                </c:pt>
                <c:pt idx="135">
                  <c:v>22007</c:v>
                </c:pt>
                <c:pt idx="136">
                  <c:v>22037</c:v>
                </c:pt>
                <c:pt idx="137">
                  <c:v>22068</c:v>
                </c:pt>
                <c:pt idx="138">
                  <c:v>22098</c:v>
                </c:pt>
                <c:pt idx="139">
                  <c:v>22129</c:v>
                </c:pt>
                <c:pt idx="140">
                  <c:v>22160</c:v>
                </c:pt>
                <c:pt idx="141">
                  <c:v>22190</c:v>
                </c:pt>
                <c:pt idx="142">
                  <c:v>22221</c:v>
                </c:pt>
                <c:pt idx="143">
                  <c:v>22251</c:v>
                </c:pt>
              </c:numCache>
            </c:numRef>
          </c:cat>
          <c:val>
            <c:numRef>
              <c:f>Analysis!$E$2:$E$145</c:f>
              <c:numCache>
                <c:formatCode>General</c:formatCode>
                <c:ptCount val="14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3.9164025417656845E-2</c:v>
                </c:pt>
                <c:pt idx="14">
                  <c:v>3.6068530598498683E-4</c:v>
                </c:pt>
                <c:pt idx="15">
                  <c:v>-2.0495593715040172E-2</c:v>
                </c:pt>
                <c:pt idx="16">
                  <c:v>-1.2939182371197511E-2</c:v>
                </c:pt>
                <c:pt idx="17">
                  <c:v>6.6148335801469393E-2</c:v>
                </c:pt>
                <c:pt idx="18">
                  <c:v>3.9914635779117802E-2</c:v>
                </c:pt>
                <c:pt idx="19">
                  <c:v>0</c:v>
                </c:pt>
                <c:pt idx="20">
                  <c:v>1.135398400476717E-2</c:v>
                </c:pt>
                <c:pt idx="21">
                  <c:v>-3.8714512180690441E-2</c:v>
                </c:pt>
                <c:pt idx="22">
                  <c:v>-1.941808585710092E-2</c:v>
                </c:pt>
                <c:pt idx="23">
                  <c:v>7.9150248890515584E-2</c:v>
                </c:pt>
                <c:pt idx="24">
                  <c:v>6.0843815913685262E-2</c:v>
                </c:pt>
                <c:pt idx="25">
                  <c:v>-5.7448226912546474E-2</c:v>
                </c:pt>
                <c:pt idx="26">
                  <c:v>5.8670272769139054E-2</c:v>
                </c:pt>
                <c:pt idx="27">
                  <c:v>-4.4548237545583902E-2</c:v>
                </c:pt>
                <c:pt idx="28">
                  <c:v>0.13070531714281852</c:v>
                </c:pt>
                <c:pt idx="29">
                  <c:v>-0.14134349516452538</c:v>
                </c:pt>
                <c:pt idx="30">
                  <c:v>-2.0330856672395647E-2</c:v>
                </c:pt>
                <c:pt idx="31">
                  <c:v>0</c:v>
                </c:pt>
                <c:pt idx="32">
                  <c:v>-5.1656630922112257E-3</c:v>
                </c:pt>
                <c:pt idx="33">
                  <c:v>4.490648242861095E-2</c:v>
                </c:pt>
                <c:pt idx="34">
                  <c:v>5.0160966303210763E-2</c:v>
                </c:pt>
                <c:pt idx="35">
                  <c:v>-7.7062807566600888E-2</c:v>
                </c:pt>
                <c:pt idx="36">
                  <c:v>-5.4155516651537283E-3</c:v>
                </c:pt>
                <c:pt idx="37">
                  <c:v>1.7391742711868829E-2</c:v>
                </c:pt>
                <c:pt idx="38">
                  <c:v>-0.10141491818115433</c:v>
                </c:pt>
                <c:pt idx="39">
                  <c:v>2.3840191846263181E-2</c:v>
                </c:pt>
                <c:pt idx="40">
                  <c:v>-4.2755154431095121E-2</c:v>
                </c:pt>
                <c:pt idx="41">
                  <c:v>0.14071983646903519</c:v>
                </c:pt>
                <c:pt idx="42">
                  <c:v>-5.7937028298300497E-2</c:v>
                </c:pt>
                <c:pt idx="43">
                  <c:v>5.085841723349116E-2</c:v>
                </c:pt>
                <c:pt idx="44">
                  <c:v>-6.8234407076369408E-2</c:v>
                </c:pt>
                <c:pt idx="45">
                  <c:v>3.7278598458421186E-2</c:v>
                </c:pt>
                <c:pt idx="46">
                  <c:v>-7.8923770912986413E-4</c:v>
                </c:pt>
                <c:pt idx="47">
                  <c:v>-8.0174843983318311E-3</c:v>
                </c:pt>
                <c:pt idx="48">
                  <c:v>-1.9419267978928012E-2</c:v>
                </c:pt>
                <c:pt idx="49">
                  <c:v>-5.1293294387550148E-2</c:v>
                </c:pt>
                <c:pt idx="50">
                  <c:v>0.1159838077804185</c:v>
                </c:pt>
                <c:pt idx="51">
                  <c:v>5.9946866757607964E-2</c:v>
                </c:pt>
                <c:pt idx="52">
                  <c:v>-3.6852632165514265E-2</c:v>
                </c:pt>
                <c:pt idx="53">
                  <c:v>-0.1156694701613592</c:v>
                </c:pt>
                <c:pt idx="54">
                  <c:v>2.9303413671661005E-2</c:v>
                </c:pt>
                <c:pt idx="55">
                  <c:v>-2.1005454083809383E-2</c:v>
                </c:pt>
                <c:pt idx="56">
                  <c:v>8.8615490310095524E-3</c:v>
                </c:pt>
                <c:pt idx="57">
                  <c:v>-2.6141183740883811E-2</c:v>
                </c:pt>
                <c:pt idx="58">
                  <c:v>-5.4122331352679076E-2</c:v>
                </c:pt>
                <c:pt idx="59">
                  <c:v>-1.0015625081010171E-2</c:v>
                </c:pt>
                <c:pt idx="60">
                  <c:v>4.5585856179517492E-3</c:v>
                </c:pt>
                <c:pt idx="61">
                  <c:v>-8.167803101426685E-2</c:v>
                </c:pt>
                <c:pt idx="62">
                  <c:v>3.7426405519116024E-2</c:v>
                </c:pt>
                <c:pt idx="63">
                  <c:v>-3.038920578130444E-2</c:v>
                </c:pt>
                <c:pt idx="64">
                  <c:v>5.623460846621775E-2</c:v>
                </c:pt>
                <c:pt idx="65">
                  <c:v>6.1288548002305987E-2</c:v>
                </c:pt>
                <c:pt idx="66">
                  <c:v>5.1590254422785975E-2</c:v>
                </c:pt>
                <c:pt idx="67">
                  <c:v>-6.0107371507483798E-2</c:v>
                </c:pt>
                <c:pt idx="68">
                  <c:v>1.4397377843335946E-2</c:v>
                </c:pt>
                <c:pt idx="69">
                  <c:v>-6.9040504862325491E-3</c:v>
                </c:pt>
                <c:pt idx="70">
                  <c:v>3.8385258073403428E-2</c:v>
                </c:pt>
                <c:pt idx="71">
                  <c:v>1.0167967343587492E-2</c:v>
                </c:pt>
                <c:pt idx="72">
                  <c:v>4.0400636817306435E-2</c:v>
                </c:pt>
                <c:pt idx="73">
                  <c:v>4.3778758423280273E-2</c:v>
                </c:pt>
                <c:pt idx="74">
                  <c:v>-8.6933346479660223E-2</c:v>
                </c:pt>
                <c:pt idx="75">
                  <c:v>4.2098217864345422E-2</c:v>
                </c:pt>
                <c:pt idx="76">
                  <c:v>-2.6660518479762807E-2</c:v>
                </c:pt>
                <c:pt idx="77">
                  <c:v>3.3522692038643775E-2</c:v>
                </c:pt>
                <c:pt idx="78">
                  <c:v>1.0103314582553757E-2</c:v>
                </c:pt>
                <c:pt idx="79">
                  <c:v>-1.7574679332079235E-2</c:v>
                </c:pt>
                <c:pt idx="80">
                  <c:v>1.702295518015351E-2</c:v>
                </c:pt>
                <c:pt idx="81">
                  <c:v>-6.7690232761146163E-3</c:v>
                </c:pt>
                <c:pt idx="82">
                  <c:v>-2.4551940740486167E-2</c:v>
                </c:pt>
                <c:pt idx="83">
                  <c:v>3.9044948043052585E-2</c:v>
                </c:pt>
                <c:pt idx="84">
                  <c:v>-3.3862598131877419E-2</c:v>
                </c:pt>
                <c:pt idx="85">
                  <c:v>1.2942540617118858E-2</c:v>
                </c:pt>
                <c:pt idx="86">
                  <c:v>-1.3259371446077139E-3</c:v>
                </c:pt>
                <c:pt idx="87">
                  <c:v>-2.0161304538716784E-2</c:v>
                </c:pt>
                <c:pt idx="88">
                  <c:v>1.2137612843488021E-2</c:v>
                </c:pt>
                <c:pt idx="89">
                  <c:v>8.053734807097257E-3</c:v>
                </c:pt>
                <c:pt idx="90">
                  <c:v>-4.5389433264606538E-2</c:v>
                </c:pt>
                <c:pt idx="91">
                  <c:v>2.8268561835386841E-2</c:v>
                </c:pt>
                <c:pt idx="92">
                  <c:v>-2.5447685493745986E-2</c:v>
                </c:pt>
                <c:pt idx="93">
                  <c:v>-1.8657606101623259E-2</c:v>
                </c:pt>
                <c:pt idx="94">
                  <c:v>2.3601684180259319E-2</c:v>
                </c:pt>
                <c:pt idx="95">
                  <c:v>-3.8094691482825738E-2</c:v>
                </c:pt>
                <c:pt idx="96">
                  <c:v>7.6344124026830329E-3</c:v>
                </c:pt>
                <c:pt idx="97">
                  <c:v>-2.0505642102889965E-2</c:v>
                </c:pt>
                <c:pt idx="98">
                  <c:v>3.2936198413213269E-2</c:v>
                </c:pt>
                <c:pt idx="99">
                  <c:v>-1.0029667740428572E-2</c:v>
                </c:pt>
                <c:pt idx="100">
                  <c:v>4.0671174609174798E-3</c:v>
                </c:pt>
                <c:pt idx="101">
                  <c:v>1.0683109926240775E-2</c:v>
                </c:pt>
                <c:pt idx="102">
                  <c:v>-2.1597039951570807E-3</c:v>
                </c:pt>
                <c:pt idx="103">
                  <c:v>2.3852377936036007E-2</c:v>
                </c:pt>
                <c:pt idx="104">
                  <c:v>-1.3145102076624227E-2</c:v>
                </c:pt>
                <c:pt idx="105">
                  <c:v>-3.5574104912559079E-3</c:v>
                </c:pt>
                <c:pt idx="106">
                  <c:v>-7.5467222667677802E-3</c:v>
                </c:pt>
                <c:pt idx="107">
                  <c:v>-2.4666897716887348E-2</c:v>
                </c:pt>
                <c:pt idx="108">
                  <c:v>-1.7153079226249091E-2</c:v>
                </c:pt>
                <c:pt idx="109">
                  <c:v>-2.1431860753272858E-2</c:v>
                </c:pt>
                <c:pt idx="110">
                  <c:v>-3.8227637057560493E-2</c:v>
                </c:pt>
                <c:pt idx="111">
                  <c:v>-1.6713480973741035E-2</c:v>
                </c:pt>
                <c:pt idx="112">
                  <c:v>2.2285044789434494E-2</c:v>
                </c:pt>
                <c:pt idx="113">
                  <c:v>8.0556722632376676E-3</c:v>
                </c:pt>
                <c:pt idx="114">
                  <c:v>2.4066005154492309E-2</c:v>
                </c:pt>
                <c:pt idx="115">
                  <c:v>2.3822449399298229E-2</c:v>
                </c:pt>
                <c:pt idx="116">
                  <c:v>-7.82291716064627E-2</c:v>
                </c:pt>
                <c:pt idx="117">
                  <c:v>3.3997608541419311E-2</c:v>
                </c:pt>
                <c:pt idx="118">
                  <c:v>-1.7737087669638996E-2</c:v>
                </c:pt>
                <c:pt idx="119">
                  <c:v>-1.3288750482622902E-2</c:v>
                </c:pt>
                <c:pt idx="120">
                  <c:v>5.4186643450790939E-2</c:v>
                </c:pt>
                <c:pt idx="121">
                  <c:v>1.5600940442479505E-2</c:v>
                </c:pt>
                <c:pt idx="122">
                  <c:v>4.1949593493533222E-2</c:v>
                </c:pt>
                <c:pt idx="123">
                  <c:v>1.4502783704045008E-2</c:v>
                </c:pt>
                <c:pt idx="124">
                  <c:v>1.6640145532557327E-2</c:v>
                </c:pt>
                <c:pt idx="125">
                  <c:v>-6.4218922515692611E-2</c:v>
                </c:pt>
                <c:pt idx="126">
                  <c:v>2.8198204656624704E-2</c:v>
                </c:pt>
                <c:pt idx="127">
                  <c:v>-8.2401152737565653E-3</c:v>
                </c:pt>
                <c:pt idx="128">
                  <c:v>3.4721132245344677E-2</c:v>
                </c:pt>
                <c:pt idx="129">
                  <c:v>-1.0821379170767642E-2</c:v>
                </c:pt>
                <c:pt idx="130">
                  <c:v>2.9581117392263323E-2</c:v>
                </c:pt>
                <c:pt idx="131">
                  <c:v>2.8732222407597874E-2</c:v>
                </c:pt>
                <c:pt idx="132">
                  <c:v>-3.6821946405531492E-2</c:v>
                </c:pt>
                <c:pt idx="133">
                  <c:v>-1.308536742588462E-2</c:v>
                </c:pt>
                <c:pt idx="134">
                  <c:v>-0.10237906260235619</c:v>
                </c:pt>
                <c:pt idx="135">
                  <c:v>0.12046607142176313</c:v>
                </c:pt>
                <c:pt idx="136">
                  <c:v>-3.5259557434026867E-2</c:v>
                </c:pt>
                <c:pt idx="137">
                  <c:v>8.5634870023101328E-3</c:v>
                </c:pt>
                <c:pt idx="138">
                  <c:v>1.3770444807121862E-3</c:v>
                </c:pt>
                <c:pt idx="139">
                  <c:v>-4.593429287694839E-2</c:v>
                </c:pt>
                <c:pt idx="140">
                  <c:v>1.2023880578032831E-2</c:v>
                </c:pt>
                <c:pt idx="141">
                  <c:v>3.1830464061806119E-2</c:v>
                </c:pt>
                <c:pt idx="142">
                  <c:v>-5.0082330256133289E-2</c:v>
                </c:pt>
                <c:pt idx="143">
                  <c:v>-9.9640061603487595E-3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686144"/>
        <c:axId val="206541568"/>
      </c:lineChart>
      <c:dateAx>
        <c:axId val="211686144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low"/>
        <c:crossAx val="20654156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2065415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116861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3208412673905964E-2"/>
          <c:y val="2.9321410357492542E-2"/>
          <c:w val="0.9176194740363337"/>
          <c:h val="0.898233875153791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Analysis!$H$115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Analysis!$H$116:$H$139</c:f>
              <c:numCache>
                <c:formatCode>0.00%</c:formatCode>
                <c:ptCount val="24"/>
                <c:pt idx="0">
                  <c:v>-0.34112379829835449</c:v>
                </c:pt>
                <c:pt idx="1">
                  <c:v>0.10504674962356635</c:v>
                </c:pt>
                <c:pt idx="2">
                  <c:v>-0.20213866415809523</c:v>
                </c:pt>
                <c:pt idx="3">
                  <c:v>2.1359228809792241E-2</c:v>
                </c:pt>
                <c:pt idx="4">
                  <c:v>5.5654343478832795E-2</c:v>
                </c:pt>
                <c:pt idx="5">
                  <c:v>3.0803669593847033E-2</c:v>
                </c:pt>
                <c:pt idx="6">
                  <c:v>-5.557856953864608E-2</c:v>
                </c:pt>
                <c:pt idx="7">
                  <c:v>-7.6065777699968278E-4</c:v>
                </c:pt>
                <c:pt idx="8">
                  <c:v>0.17636868145641468</c:v>
                </c:pt>
                <c:pt idx="9">
                  <c:v>-7.6358191205427015E-2</c:v>
                </c:pt>
                <c:pt idx="10">
                  <c:v>6.4383939885986299E-2</c:v>
                </c:pt>
                <c:pt idx="11">
                  <c:v>-0.38661285964991438</c:v>
                </c:pt>
                <c:pt idx="12">
                  <c:v>0.15160201212191216</c:v>
                </c:pt>
                <c:pt idx="13">
                  <c:v>-5.7606797983951498E-2</c:v>
                </c:pt>
                <c:pt idx="14">
                  <c:v>0.14956522021613727</c:v>
                </c:pt>
                <c:pt idx="15">
                  <c:v>-0.13894218194899749</c:v>
                </c:pt>
                <c:pt idx="16">
                  <c:v>7.0482338464536665E-2</c:v>
                </c:pt>
                <c:pt idx="17">
                  <c:v>1.5630724062793873E-2</c:v>
                </c:pt>
                <c:pt idx="18">
                  <c:v>-1.0610612986559293E-2</c:v>
                </c:pt>
                <c:pt idx="19">
                  <c:v>-0.11672859779698257</c:v>
                </c:pt>
                <c:pt idx="20">
                  <c:v>3.8554202262255068E-2</c:v>
                </c:pt>
                <c:pt idx="21">
                  <c:v>-9.1364527563348438E-2</c:v>
                </c:pt>
                <c:pt idx="22">
                  <c:v>0.22326890551139225</c:v>
                </c:pt>
                <c:pt idx="23">
                  <c:v>-1.8418167386413983E-2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182272"/>
        <c:axId val="206265728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Analysis!$I$116:$I$139</c:f>
              <c:numCache>
                <c:formatCode>0.00%</c:formatCode>
                <c:ptCount val="24"/>
                <c:pt idx="0">
                  <c:v>0.17124284842021767</c:v>
                </c:pt>
                <c:pt idx="1">
                  <c:v>0.17124284842021767</c:v>
                </c:pt>
                <c:pt idx="2">
                  <c:v>0.19012822023137466</c:v>
                </c:pt>
                <c:pt idx="3">
                  <c:v>0.1918226074410441</c:v>
                </c:pt>
                <c:pt idx="4">
                  <c:v>0.19797040579408959</c:v>
                </c:pt>
                <c:pt idx="5">
                  <c:v>0.19803797077305052</c:v>
                </c:pt>
                <c:pt idx="6">
                  <c:v>0.19849608367118965</c:v>
                </c:pt>
                <c:pt idx="7">
                  <c:v>0.19863621156328234</c:v>
                </c:pt>
                <c:pt idx="8">
                  <c:v>0.19909170648030569</c:v>
                </c:pt>
                <c:pt idx="9">
                  <c:v>0.19909179170201569</c:v>
                </c:pt>
                <c:pt idx="10">
                  <c:v>0.20362182613027133</c:v>
                </c:pt>
                <c:pt idx="11">
                  <c:v>0.20445977810457638</c:v>
                </c:pt>
                <c:pt idx="12">
                  <c:v>0.20505344393363376</c:v>
                </c:pt>
                <c:pt idx="13">
                  <c:v>0.22541747074248869</c:v>
                </c:pt>
                <c:pt idx="14">
                  <c:v>0.22838773670047005</c:v>
                </c:pt>
                <c:pt idx="15">
                  <c:v>0.22881342824693895</c:v>
                </c:pt>
                <c:pt idx="16">
                  <c:v>0.23166253776717954</c:v>
                </c:pt>
                <c:pt idx="17">
                  <c:v>0.23409342430552316</c:v>
                </c:pt>
                <c:pt idx="18">
                  <c:v>0.23471489432436815</c:v>
                </c:pt>
                <c:pt idx="19">
                  <c:v>0.23474541640904134</c:v>
                </c:pt>
                <c:pt idx="20">
                  <c:v>0.23475947998310942</c:v>
                </c:pt>
                <c:pt idx="21">
                  <c:v>0.23645534185761705</c:v>
                </c:pt>
                <c:pt idx="22">
                  <c:v>0.23663960989533614</c:v>
                </c:pt>
                <c:pt idx="23">
                  <c:v>0.23767176880153329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Analysis!$J$116:$J$139</c:f>
              <c:numCache>
                <c:formatCode>0.00%</c:formatCode>
                <c:ptCount val="24"/>
                <c:pt idx="0">
                  <c:v>-0.17124284842021767</c:v>
                </c:pt>
                <c:pt idx="1">
                  <c:v>-0.17124284842021767</c:v>
                </c:pt>
                <c:pt idx="2">
                  <c:v>-0.19012822023137466</c:v>
                </c:pt>
                <c:pt idx="3">
                  <c:v>-0.1918226074410441</c:v>
                </c:pt>
                <c:pt idx="4">
                  <c:v>-0.19797040579408959</c:v>
                </c:pt>
                <c:pt idx="5">
                  <c:v>-0.19803797077305052</c:v>
                </c:pt>
                <c:pt idx="6">
                  <c:v>-0.19849608367118965</c:v>
                </c:pt>
                <c:pt idx="7">
                  <c:v>-0.19863621156328234</c:v>
                </c:pt>
                <c:pt idx="8">
                  <c:v>-0.19909170648030569</c:v>
                </c:pt>
                <c:pt idx="9">
                  <c:v>-0.19909179170201569</c:v>
                </c:pt>
                <c:pt idx="10">
                  <c:v>-0.20362182613027133</c:v>
                </c:pt>
                <c:pt idx="11">
                  <c:v>-0.20445977810457638</c:v>
                </c:pt>
                <c:pt idx="12">
                  <c:v>-0.20505344393363376</c:v>
                </c:pt>
                <c:pt idx="13">
                  <c:v>-0.22541747074248869</c:v>
                </c:pt>
                <c:pt idx="14">
                  <c:v>-0.22838773670047005</c:v>
                </c:pt>
                <c:pt idx="15">
                  <c:v>-0.22881342824693895</c:v>
                </c:pt>
                <c:pt idx="16">
                  <c:v>-0.23166253776717954</c:v>
                </c:pt>
                <c:pt idx="17">
                  <c:v>-0.23409342430552316</c:v>
                </c:pt>
                <c:pt idx="18">
                  <c:v>-0.23471489432436815</c:v>
                </c:pt>
                <c:pt idx="19">
                  <c:v>-0.23474541640904134</c:v>
                </c:pt>
                <c:pt idx="20">
                  <c:v>-0.23475947998310942</c:v>
                </c:pt>
                <c:pt idx="21">
                  <c:v>-0.23645534185761705</c:v>
                </c:pt>
                <c:pt idx="22">
                  <c:v>-0.23663960989533614</c:v>
                </c:pt>
                <c:pt idx="23">
                  <c:v>-0.23767176880153329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182272"/>
        <c:axId val="206265728"/>
      </c:lineChart>
      <c:catAx>
        <c:axId val="206182272"/>
        <c:scaling>
          <c:orientation val="minMax"/>
        </c:scaling>
        <c:delete val="0"/>
        <c:axPos val="b"/>
        <c:majorTickMark val="out"/>
        <c:minorTickMark val="none"/>
        <c:tickLblPos val="low"/>
        <c:crossAx val="206265728"/>
        <c:crosses val="autoZero"/>
        <c:auto val="1"/>
        <c:lblAlgn val="ctr"/>
        <c:lblOffset val="100"/>
        <c:noMultiLvlLbl val="0"/>
      </c:catAx>
      <c:valAx>
        <c:axId val="20626572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06182272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3208412673905964E-2"/>
          <c:y val="5.320182358785696E-2"/>
          <c:w val="0.92480881066337306"/>
          <c:h val="0.893450063384399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Analysis!$K$115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Analysis!$K$116:$K$139</c:f>
              <c:numCache>
                <c:formatCode>0.00%</c:formatCode>
                <c:ptCount val="24"/>
                <c:pt idx="0">
                  <c:v>-0.3412449092641881</c:v>
                </c:pt>
                <c:pt idx="1">
                  <c:v>-1.4443145433864327E-2</c:v>
                </c:pt>
                <c:pt idx="2">
                  <c:v>-0.19404580900113891</c:v>
                </c:pt>
                <c:pt idx="3">
                  <c:v>-0.12642553873167406</c:v>
                </c:pt>
                <c:pt idx="4">
                  <c:v>3.344923989428563E-2</c:v>
                </c:pt>
                <c:pt idx="5">
                  <c:v>3.4079253425243608E-2</c:v>
                </c:pt>
                <c:pt idx="6">
                  <c:v>-6.7230990781387556E-2</c:v>
                </c:pt>
                <c:pt idx="7">
                  <c:v>-2.6238551870191754E-2</c:v>
                </c:pt>
                <c:pt idx="8">
                  <c:v>0.24362273220461794</c:v>
                </c:pt>
                <c:pt idx="9">
                  <c:v>4.2074177230461647E-2</c:v>
                </c:pt>
                <c:pt idx="10">
                  <c:v>4.8880101592389147E-2</c:v>
                </c:pt>
                <c:pt idx="11">
                  <c:v>-0.38338817208047254</c:v>
                </c:pt>
                <c:pt idx="12">
                  <c:v>-0.1386419562003684</c:v>
                </c:pt>
                <c:pt idx="13">
                  <c:v>-7.9431484838139499E-2</c:v>
                </c:pt>
                <c:pt idx="14">
                  <c:v>2.237980790604483E-3</c:v>
                </c:pt>
                <c:pt idx="15">
                  <c:v>-0.16920367268996617</c:v>
                </c:pt>
                <c:pt idx="16">
                  <c:v>1.7543754987600926E-2</c:v>
                </c:pt>
                <c:pt idx="17">
                  <c:v>0.12482789070782443</c:v>
                </c:pt>
                <c:pt idx="18">
                  <c:v>-1.9489976549749963E-2</c:v>
                </c:pt>
                <c:pt idx="19">
                  <c:v>-0.2046693588159503</c:v>
                </c:pt>
                <c:pt idx="20">
                  <c:v>0.14179708418575387</c:v>
                </c:pt>
                <c:pt idx="21">
                  <c:v>-0.13656582867326481</c:v>
                </c:pt>
                <c:pt idx="22">
                  <c:v>0.1840067949737296</c:v>
                </c:pt>
                <c:pt idx="23">
                  <c:v>-9.6670003058410447E-2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671232"/>
        <c:axId val="206759424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Analysis!$L$116:$L$139</c:f>
              <c:numCache>
                <c:formatCode>0.00%</c:formatCode>
                <c:ptCount val="24"/>
                <c:pt idx="0">
                  <c:v>0.17124284842021767</c:v>
                </c:pt>
                <c:pt idx="1">
                  <c:v>0.17124284842021767</c:v>
                </c:pt>
                <c:pt idx="2">
                  <c:v>0.17124284842021767</c:v>
                </c:pt>
                <c:pt idx="3">
                  <c:v>0.17124284842021767</c:v>
                </c:pt>
                <c:pt idx="4">
                  <c:v>0.17124284842021767</c:v>
                </c:pt>
                <c:pt idx="5">
                  <c:v>0.17124284842021767</c:v>
                </c:pt>
                <c:pt idx="6">
                  <c:v>0.17124284842021767</c:v>
                </c:pt>
                <c:pt idx="7">
                  <c:v>0.17124284842021767</c:v>
                </c:pt>
                <c:pt idx="8">
                  <c:v>0.17124284842021767</c:v>
                </c:pt>
                <c:pt idx="9">
                  <c:v>0.17124284842021767</c:v>
                </c:pt>
                <c:pt idx="10">
                  <c:v>0.17124284842021767</c:v>
                </c:pt>
                <c:pt idx="11">
                  <c:v>0.17124284842021767</c:v>
                </c:pt>
                <c:pt idx="12">
                  <c:v>0.17124284842021767</c:v>
                </c:pt>
                <c:pt idx="13">
                  <c:v>0.17124284842021767</c:v>
                </c:pt>
                <c:pt idx="14">
                  <c:v>0.17124284842021767</c:v>
                </c:pt>
                <c:pt idx="15">
                  <c:v>0.17124284842021767</c:v>
                </c:pt>
                <c:pt idx="16">
                  <c:v>0.17124284842021767</c:v>
                </c:pt>
                <c:pt idx="17">
                  <c:v>0.17124284842021767</c:v>
                </c:pt>
                <c:pt idx="18">
                  <c:v>0.17124284842021767</c:v>
                </c:pt>
                <c:pt idx="19">
                  <c:v>0.17124284842021767</c:v>
                </c:pt>
                <c:pt idx="20">
                  <c:v>0.17124284842021767</c:v>
                </c:pt>
                <c:pt idx="21">
                  <c:v>0.17124284842021767</c:v>
                </c:pt>
                <c:pt idx="22">
                  <c:v>0.17124284842021767</c:v>
                </c:pt>
                <c:pt idx="23">
                  <c:v>0.17124284842021767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Analysis!$M$116:$M$139</c:f>
              <c:numCache>
                <c:formatCode>0.00%</c:formatCode>
                <c:ptCount val="24"/>
                <c:pt idx="0">
                  <c:v>-0.17124284842021767</c:v>
                </c:pt>
                <c:pt idx="1">
                  <c:v>-0.17124284842021767</c:v>
                </c:pt>
                <c:pt idx="2">
                  <c:v>-0.17124284842021767</c:v>
                </c:pt>
                <c:pt idx="3">
                  <c:v>-0.17124284842021767</c:v>
                </c:pt>
                <c:pt idx="4">
                  <c:v>-0.17124284842021767</c:v>
                </c:pt>
                <c:pt idx="5">
                  <c:v>-0.17124284842021767</c:v>
                </c:pt>
                <c:pt idx="6">
                  <c:v>-0.17124284842021767</c:v>
                </c:pt>
                <c:pt idx="7">
                  <c:v>-0.17124284842021767</c:v>
                </c:pt>
                <c:pt idx="8">
                  <c:v>-0.17124284842021767</c:v>
                </c:pt>
                <c:pt idx="9">
                  <c:v>-0.17124284842021767</c:v>
                </c:pt>
                <c:pt idx="10">
                  <c:v>-0.17124284842021767</c:v>
                </c:pt>
                <c:pt idx="11">
                  <c:v>-0.17124284842021767</c:v>
                </c:pt>
                <c:pt idx="12">
                  <c:v>-0.17124284842021767</c:v>
                </c:pt>
                <c:pt idx="13">
                  <c:v>-0.17124284842021767</c:v>
                </c:pt>
                <c:pt idx="14">
                  <c:v>-0.17124284842021767</c:v>
                </c:pt>
                <c:pt idx="15">
                  <c:v>-0.17124284842021767</c:v>
                </c:pt>
                <c:pt idx="16">
                  <c:v>-0.17124284842021767</c:v>
                </c:pt>
                <c:pt idx="17">
                  <c:v>-0.17124284842021767</c:v>
                </c:pt>
                <c:pt idx="18">
                  <c:v>-0.17124284842021767</c:v>
                </c:pt>
                <c:pt idx="19">
                  <c:v>-0.17124284842021767</c:v>
                </c:pt>
                <c:pt idx="20">
                  <c:v>-0.17124284842021767</c:v>
                </c:pt>
                <c:pt idx="21">
                  <c:v>-0.17124284842021767</c:v>
                </c:pt>
                <c:pt idx="22">
                  <c:v>-0.17124284842021767</c:v>
                </c:pt>
                <c:pt idx="23">
                  <c:v>-0.17124284842021767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671232"/>
        <c:axId val="206759424"/>
      </c:lineChart>
      <c:catAx>
        <c:axId val="206671232"/>
        <c:scaling>
          <c:orientation val="minMax"/>
        </c:scaling>
        <c:delete val="0"/>
        <c:axPos val="b"/>
        <c:majorTickMark val="out"/>
        <c:minorTickMark val="none"/>
        <c:tickLblPos val="low"/>
        <c:crossAx val="206759424"/>
        <c:crosses val="autoZero"/>
        <c:auto val="1"/>
        <c:lblAlgn val="ctr"/>
        <c:lblOffset val="100"/>
        <c:noMultiLvlLbl val="0"/>
      </c:catAx>
      <c:valAx>
        <c:axId val="206759424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06671232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Original</c:v>
          </c:tx>
          <c:marker>
            <c:symbol val="none"/>
          </c:marker>
          <c:cat>
            <c:numRef>
              <c:f>Modeling!$A$2:$A$145</c:f>
              <c:numCache>
                <c:formatCode>[$-409]mmm\-yy;@</c:formatCode>
                <c:ptCount val="144"/>
                <c:pt idx="0">
                  <c:v>17899</c:v>
                </c:pt>
                <c:pt idx="1">
                  <c:v>17930</c:v>
                </c:pt>
                <c:pt idx="2">
                  <c:v>17958</c:v>
                </c:pt>
                <c:pt idx="3">
                  <c:v>17989</c:v>
                </c:pt>
                <c:pt idx="4">
                  <c:v>18019</c:v>
                </c:pt>
                <c:pt idx="5">
                  <c:v>18050</c:v>
                </c:pt>
                <c:pt idx="6">
                  <c:v>18080</c:v>
                </c:pt>
                <c:pt idx="7">
                  <c:v>18111</c:v>
                </c:pt>
                <c:pt idx="8">
                  <c:v>18142</c:v>
                </c:pt>
                <c:pt idx="9">
                  <c:v>18172</c:v>
                </c:pt>
                <c:pt idx="10">
                  <c:v>18203</c:v>
                </c:pt>
                <c:pt idx="11">
                  <c:v>18233</c:v>
                </c:pt>
                <c:pt idx="12">
                  <c:v>18264</c:v>
                </c:pt>
                <c:pt idx="13">
                  <c:v>18295</c:v>
                </c:pt>
                <c:pt idx="14">
                  <c:v>18323</c:v>
                </c:pt>
                <c:pt idx="15">
                  <c:v>18354</c:v>
                </c:pt>
                <c:pt idx="16">
                  <c:v>18384</c:v>
                </c:pt>
                <c:pt idx="17">
                  <c:v>18415</c:v>
                </c:pt>
                <c:pt idx="18">
                  <c:v>18445</c:v>
                </c:pt>
                <c:pt idx="19">
                  <c:v>18476</c:v>
                </c:pt>
                <c:pt idx="20">
                  <c:v>18507</c:v>
                </c:pt>
                <c:pt idx="21">
                  <c:v>18537</c:v>
                </c:pt>
                <c:pt idx="22">
                  <c:v>18568</c:v>
                </c:pt>
                <c:pt idx="23">
                  <c:v>18598</c:v>
                </c:pt>
                <c:pt idx="24">
                  <c:v>18629</c:v>
                </c:pt>
                <c:pt idx="25">
                  <c:v>18660</c:v>
                </c:pt>
                <c:pt idx="26">
                  <c:v>18688</c:v>
                </c:pt>
                <c:pt idx="27">
                  <c:v>18719</c:v>
                </c:pt>
                <c:pt idx="28">
                  <c:v>18749</c:v>
                </c:pt>
                <c:pt idx="29">
                  <c:v>18780</c:v>
                </c:pt>
                <c:pt idx="30">
                  <c:v>18810</c:v>
                </c:pt>
                <c:pt idx="31">
                  <c:v>18841</c:v>
                </c:pt>
                <c:pt idx="32">
                  <c:v>18872</c:v>
                </c:pt>
                <c:pt idx="33">
                  <c:v>18902</c:v>
                </c:pt>
                <c:pt idx="34">
                  <c:v>18933</c:v>
                </c:pt>
                <c:pt idx="35">
                  <c:v>18963</c:v>
                </c:pt>
                <c:pt idx="36">
                  <c:v>18994</c:v>
                </c:pt>
                <c:pt idx="37">
                  <c:v>19025</c:v>
                </c:pt>
                <c:pt idx="38">
                  <c:v>19054</c:v>
                </c:pt>
                <c:pt idx="39">
                  <c:v>19085</c:v>
                </c:pt>
                <c:pt idx="40">
                  <c:v>19115</c:v>
                </c:pt>
                <c:pt idx="41">
                  <c:v>19146</c:v>
                </c:pt>
                <c:pt idx="42">
                  <c:v>19176</c:v>
                </c:pt>
                <c:pt idx="43">
                  <c:v>19207</c:v>
                </c:pt>
                <c:pt idx="44">
                  <c:v>19238</c:v>
                </c:pt>
                <c:pt idx="45">
                  <c:v>19268</c:v>
                </c:pt>
                <c:pt idx="46">
                  <c:v>19299</c:v>
                </c:pt>
                <c:pt idx="47">
                  <c:v>19329</c:v>
                </c:pt>
                <c:pt idx="48">
                  <c:v>19360</c:v>
                </c:pt>
                <c:pt idx="49">
                  <c:v>19391</c:v>
                </c:pt>
                <c:pt idx="50">
                  <c:v>19419</c:v>
                </c:pt>
                <c:pt idx="51">
                  <c:v>19450</c:v>
                </c:pt>
                <c:pt idx="52">
                  <c:v>19480</c:v>
                </c:pt>
                <c:pt idx="53">
                  <c:v>19511</c:v>
                </c:pt>
                <c:pt idx="54">
                  <c:v>19541</c:v>
                </c:pt>
                <c:pt idx="55">
                  <c:v>19572</c:v>
                </c:pt>
                <c:pt idx="56">
                  <c:v>19603</c:v>
                </c:pt>
                <c:pt idx="57">
                  <c:v>19633</c:v>
                </c:pt>
                <c:pt idx="58">
                  <c:v>19664</c:v>
                </c:pt>
                <c:pt idx="59">
                  <c:v>19694</c:v>
                </c:pt>
                <c:pt idx="60">
                  <c:v>19725</c:v>
                </c:pt>
                <c:pt idx="61">
                  <c:v>19756</c:v>
                </c:pt>
                <c:pt idx="62">
                  <c:v>19784</c:v>
                </c:pt>
                <c:pt idx="63">
                  <c:v>19815</c:v>
                </c:pt>
                <c:pt idx="64">
                  <c:v>19845</c:v>
                </c:pt>
                <c:pt idx="65">
                  <c:v>19876</c:v>
                </c:pt>
                <c:pt idx="66">
                  <c:v>19906</c:v>
                </c:pt>
                <c:pt idx="67">
                  <c:v>19937</c:v>
                </c:pt>
                <c:pt idx="68">
                  <c:v>19968</c:v>
                </c:pt>
                <c:pt idx="69">
                  <c:v>19998</c:v>
                </c:pt>
                <c:pt idx="70">
                  <c:v>20029</c:v>
                </c:pt>
                <c:pt idx="71">
                  <c:v>20059</c:v>
                </c:pt>
                <c:pt idx="72">
                  <c:v>20090</c:v>
                </c:pt>
                <c:pt idx="73">
                  <c:v>20121</c:v>
                </c:pt>
                <c:pt idx="74">
                  <c:v>20149</c:v>
                </c:pt>
                <c:pt idx="75">
                  <c:v>20180</c:v>
                </c:pt>
                <c:pt idx="76">
                  <c:v>20210</c:v>
                </c:pt>
                <c:pt idx="77">
                  <c:v>20241</c:v>
                </c:pt>
                <c:pt idx="78">
                  <c:v>20271</c:v>
                </c:pt>
                <c:pt idx="79">
                  <c:v>20302</c:v>
                </c:pt>
                <c:pt idx="80">
                  <c:v>20333</c:v>
                </c:pt>
                <c:pt idx="81">
                  <c:v>20363</c:v>
                </c:pt>
                <c:pt idx="82">
                  <c:v>20394</c:v>
                </c:pt>
                <c:pt idx="83">
                  <c:v>20424</c:v>
                </c:pt>
                <c:pt idx="84">
                  <c:v>20455</c:v>
                </c:pt>
                <c:pt idx="85">
                  <c:v>20486</c:v>
                </c:pt>
                <c:pt idx="86">
                  <c:v>20515</c:v>
                </c:pt>
                <c:pt idx="87">
                  <c:v>20546</c:v>
                </c:pt>
                <c:pt idx="88">
                  <c:v>20576</c:v>
                </c:pt>
                <c:pt idx="89">
                  <c:v>20607</c:v>
                </c:pt>
                <c:pt idx="90">
                  <c:v>20637</c:v>
                </c:pt>
                <c:pt idx="91">
                  <c:v>20668</c:v>
                </c:pt>
                <c:pt idx="92">
                  <c:v>20699</c:v>
                </c:pt>
                <c:pt idx="93">
                  <c:v>20729</c:v>
                </c:pt>
                <c:pt idx="94">
                  <c:v>20760</c:v>
                </c:pt>
                <c:pt idx="95">
                  <c:v>20790</c:v>
                </c:pt>
                <c:pt idx="96">
                  <c:v>20821</c:v>
                </c:pt>
                <c:pt idx="97">
                  <c:v>20852</c:v>
                </c:pt>
                <c:pt idx="98">
                  <c:v>20880</c:v>
                </c:pt>
                <c:pt idx="99">
                  <c:v>20911</c:v>
                </c:pt>
                <c:pt idx="100">
                  <c:v>20941</c:v>
                </c:pt>
                <c:pt idx="101">
                  <c:v>20972</c:v>
                </c:pt>
                <c:pt idx="102">
                  <c:v>21002</c:v>
                </c:pt>
                <c:pt idx="103">
                  <c:v>21033</c:v>
                </c:pt>
                <c:pt idx="104">
                  <c:v>21064</c:v>
                </c:pt>
                <c:pt idx="105">
                  <c:v>21094</c:v>
                </c:pt>
                <c:pt idx="106">
                  <c:v>21125</c:v>
                </c:pt>
                <c:pt idx="107">
                  <c:v>21155</c:v>
                </c:pt>
                <c:pt idx="108">
                  <c:v>21186</c:v>
                </c:pt>
                <c:pt idx="109">
                  <c:v>21217</c:v>
                </c:pt>
                <c:pt idx="110">
                  <c:v>21245</c:v>
                </c:pt>
                <c:pt idx="111">
                  <c:v>21276</c:v>
                </c:pt>
                <c:pt idx="112">
                  <c:v>21306</c:v>
                </c:pt>
                <c:pt idx="113">
                  <c:v>21337</c:v>
                </c:pt>
                <c:pt idx="114">
                  <c:v>21367</c:v>
                </c:pt>
                <c:pt idx="115">
                  <c:v>21398</c:v>
                </c:pt>
                <c:pt idx="116">
                  <c:v>21429</c:v>
                </c:pt>
                <c:pt idx="117">
                  <c:v>21459</c:v>
                </c:pt>
                <c:pt idx="118">
                  <c:v>21490</c:v>
                </c:pt>
                <c:pt idx="119">
                  <c:v>21520</c:v>
                </c:pt>
                <c:pt idx="120">
                  <c:v>21551</c:v>
                </c:pt>
                <c:pt idx="121">
                  <c:v>21582</c:v>
                </c:pt>
                <c:pt idx="122">
                  <c:v>21610</c:v>
                </c:pt>
                <c:pt idx="123">
                  <c:v>21641</c:v>
                </c:pt>
                <c:pt idx="124">
                  <c:v>21671</c:v>
                </c:pt>
                <c:pt idx="125">
                  <c:v>21702</c:v>
                </c:pt>
                <c:pt idx="126">
                  <c:v>21732</c:v>
                </c:pt>
                <c:pt idx="127">
                  <c:v>21763</c:v>
                </c:pt>
                <c:pt idx="128">
                  <c:v>21794</c:v>
                </c:pt>
                <c:pt idx="129">
                  <c:v>21824</c:v>
                </c:pt>
                <c:pt idx="130">
                  <c:v>21855</c:v>
                </c:pt>
                <c:pt idx="131">
                  <c:v>21885</c:v>
                </c:pt>
                <c:pt idx="132">
                  <c:v>21916</c:v>
                </c:pt>
                <c:pt idx="133">
                  <c:v>21947</c:v>
                </c:pt>
                <c:pt idx="134">
                  <c:v>21976</c:v>
                </c:pt>
                <c:pt idx="135">
                  <c:v>22007</c:v>
                </c:pt>
                <c:pt idx="136">
                  <c:v>22037</c:v>
                </c:pt>
                <c:pt idx="137">
                  <c:v>22068</c:v>
                </c:pt>
                <c:pt idx="138">
                  <c:v>22098</c:v>
                </c:pt>
                <c:pt idx="139">
                  <c:v>22129</c:v>
                </c:pt>
                <c:pt idx="140">
                  <c:v>22160</c:v>
                </c:pt>
                <c:pt idx="141">
                  <c:v>22190</c:v>
                </c:pt>
                <c:pt idx="142">
                  <c:v>22221</c:v>
                </c:pt>
                <c:pt idx="143">
                  <c:v>22251</c:v>
                </c:pt>
              </c:numCache>
            </c:numRef>
          </c:cat>
          <c:val>
            <c:numRef>
              <c:f>Modeling!$B$2:$B$145</c:f>
              <c:numCache>
                <c:formatCode>General</c:formatCode>
                <c:ptCount val="144"/>
                <c:pt idx="0">
                  <c:v>112</c:v>
                </c:pt>
                <c:pt idx="1">
                  <c:v>118</c:v>
                </c:pt>
                <c:pt idx="2">
                  <c:v>132</c:v>
                </c:pt>
                <c:pt idx="3">
                  <c:v>129</c:v>
                </c:pt>
                <c:pt idx="4">
                  <c:v>121</c:v>
                </c:pt>
                <c:pt idx="5">
                  <c:v>135</c:v>
                </c:pt>
                <c:pt idx="6">
                  <c:v>148</c:v>
                </c:pt>
                <c:pt idx="7">
                  <c:v>148</c:v>
                </c:pt>
                <c:pt idx="8">
                  <c:v>136</c:v>
                </c:pt>
                <c:pt idx="9">
                  <c:v>119</c:v>
                </c:pt>
                <c:pt idx="10">
                  <c:v>104</c:v>
                </c:pt>
                <c:pt idx="11">
                  <c:v>118</c:v>
                </c:pt>
                <c:pt idx="12">
                  <c:v>115</c:v>
                </c:pt>
                <c:pt idx="13">
                  <c:v>126</c:v>
                </c:pt>
                <c:pt idx="14">
                  <c:v>141</c:v>
                </c:pt>
                <c:pt idx="15">
                  <c:v>135</c:v>
                </c:pt>
                <c:pt idx="16">
                  <c:v>125</c:v>
                </c:pt>
                <c:pt idx="17">
                  <c:v>149</c:v>
                </c:pt>
                <c:pt idx="18">
                  <c:v>170</c:v>
                </c:pt>
                <c:pt idx="19">
                  <c:v>170</c:v>
                </c:pt>
                <c:pt idx="20">
                  <c:v>158</c:v>
                </c:pt>
                <c:pt idx="21">
                  <c:v>133</c:v>
                </c:pt>
                <c:pt idx="22">
                  <c:v>114</c:v>
                </c:pt>
                <c:pt idx="23">
                  <c:v>140</c:v>
                </c:pt>
                <c:pt idx="24">
                  <c:v>145</c:v>
                </c:pt>
                <c:pt idx="25">
                  <c:v>150</c:v>
                </c:pt>
                <c:pt idx="26">
                  <c:v>178</c:v>
                </c:pt>
                <c:pt idx="27">
                  <c:v>163</c:v>
                </c:pt>
                <c:pt idx="28">
                  <c:v>172</c:v>
                </c:pt>
                <c:pt idx="29">
                  <c:v>178</c:v>
                </c:pt>
                <c:pt idx="30">
                  <c:v>199</c:v>
                </c:pt>
                <c:pt idx="31">
                  <c:v>199</c:v>
                </c:pt>
                <c:pt idx="32">
                  <c:v>184</c:v>
                </c:pt>
                <c:pt idx="33">
                  <c:v>162</c:v>
                </c:pt>
                <c:pt idx="34">
                  <c:v>146</c:v>
                </c:pt>
                <c:pt idx="35">
                  <c:v>166</c:v>
                </c:pt>
                <c:pt idx="36">
                  <c:v>171</c:v>
                </c:pt>
                <c:pt idx="37">
                  <c:v>180</c:v>
                </c:pt>
                <c:pt idx="38">
                  <c:v>193</c:v>
                </c:pt>
                <c:pt idx="39">
                  <c:v>181</c:v>
                </c:pt>
                <c:pt idx="40">
                  <c:v>183</c:v>
                </c:pt>
                <c:pt idx="41">
                  <c:v>218</c:v>
                </c:pt>
                <c:pt idx="42">
                  <c:v>230</c:v>
                </c:pt>
                <c:pt idx="43">
                  <c:v>242</c:v>
                </c:pt>
                <c:pt idx="44">
                  <c:v>209</c:v>
                </c:pt>
                <c:pt idx="45">
                  <c:v>191</c:v>
                </c:pt>
                <c:pt idx="46">
                  <c:v>172</c:v>
                </c:pt>
                <c:pt idx="47">
                  <c:v>194</c:v>
                </c:pt>
                <c:pt idx="48">
                  <c:v>196</c:v>
                </c:pt>
                <c:pt idx="49">
                  <c:v>196</c:v>
                </c:pt>
                <c:pt idx="50">
                  <c:v>236</c:v>
                </c:pt>
                <c:pt idx="51">
                  <c:v>235</c:v>
                </c:pt>
                <c:pt idx="52">
                  <c:v>229</c:v>
                </c:pt>
                <c:pt idx="53">
                  <c:v>243</c:v>
                </c:pt>
                <c:pt idx="54">
                  <c:v>264</c:v>
                </c:pt>
                <c:pt idx="55">
                  <c:v>272</c:v>
                </c:pt>
                <c:pt idx="56">
                  <c:v>237</c:v>
                </c:pt>
                <c:pt idx="57">
                  <c:v>211</c:v>
                </c:pt>
                <c:pt idx="58">
                  <c:v>180</c:v>
                </c:pt>
                <c:pt idx="59">
                  <c:v>201</c:v>
                </c:pt>
                <c:pt idx="60">
                  <c:v>204</c:v>
                </c:pt>
                <c:pt idx="61">
                  <c:v>188</c:v>
                </c:pt>
                <c:pt idx="62">
                  <c:v>235</c:v>
                </c:pt>
                <c:pt idx="63">
                  <c:v>227</c:v>
                </c:pt>
                <c:pt idx="64">
                  <c:v>234</c:v>
                </c:pt>
                <c:pt idx="65">
                  <c:v>264</c:v>
                </c:pt>
                <c:pt idx="66">
                  <c:v>302</c:v>
                </c:pt>
                <c:pt idx="67">
                  <c:v>293</c:v>
                </c:pt>
                <c:pt idx="68">
                  <c:v>259</c:v>
                </c:pt>
                <c:pt idx="69">
                  <c:v>229</c:v>
                </c:pt>
                <c:pt idx="70">
                  <c:v>203</c:v>
                </c:pt>
                <c:pt idx="71">
                  <c:v>229</c:v>
                </c:pt>
                <c:pt idx="72">
                  <c:v>242</c:v>
                </c:pt>
                <c:pt idx="73">
                  <c:v>233</c:v>
                </c:pt>
                <c:pt idx="74">
                  <c:v>267</c:v>
                </c:pt>
                <c:pt idx="75">
                  <c:v>269</c:v>
                </c:pt>
                <c:pt idx="76">
                  <c:v>270</c:v>
                </c:pt>
                <c:pt idx="77">
                  <c:v>315</c:v>
                </c:pt>
                <c:pt idx="78">
                  <c:v>364</c:v>
                </c:pt>
                <c:pt idx="79">
                  <c:v>347</c:v>
                </c:pt>
                <c:pt idx="80">
                  <c:v>312</c:v>
                </c:pt>
                <c:pt idx="81">
                  <c:v>274</c:v>
                </c:pt>
                <c:pt idx="82">
                  <c:v>237</c:v>
                </c:pt>
                <c:pt idx="83">
                  <c:v>278</c:v>
                </c:pt>
                <c:pt idx="84">
                  <c:v>284</c:v>
                </c:pt>
                <c:pt idx="85">
                  <c:v>277</c:v>
                </c:pt>
                <c:pt idx="86">
                  <c:v>317</c:v>
                </c:pt>
                <c:pt idx="87">
                  <c:v>313</c:v>
                </c:pt>
                <c:pt idx="88">
                  <c:v>318</c:v>
                </c:pt>
                <c:pt idx="89">
                  <c:v>374</c:v>
                </c:pt>
                <c:pt idx="90">
                  <c:v>413</c:v>
                </c:pt>
                <c:pt idx="91">
                  <c:v>405</c:v>
                </c:pt>
                <c:pt idx="92">
                  <c:v>355</c:v>
                </c:pt>
                <c:pt idx="93">
                  <c:v>306</c:v>
                </c:pt>
                <c:pt idx="94">
                  <c:v>271</c:v>
                </c:pt>
                <c:pt idx="95">
                  <c:v>306</c:v>
                </c:pt>
                <c:pt idx="96">
                  <c:v>315</c:v>
                </c:pt>
                <c:pt idx="97">
                  <c:v>301</c:v>
                </c:pt>
                <c:pt idx="98">
                  <c:v>356</c:v>
                </c:pt>
                <c:pt idx="99">
                  <c:v>348</c:v>
                </c:pt>
                <c:pt idx="100">
                  <c:v>355</c:v>
                </c:pt>
                <c:pt idx="101">
                  <c:v>422</c:v>
                </c:pt>
                <c:pt idx="102">
                  <c:v>465</c:v>
                </c:pt>
                <c:pt idx="103">
                  <c:v>467</c:v>
                </c:pt>
                <c:pt idx="104">
                  <c:v>404</c:v>
                </c:pt>
                <c:pt idx="105">
                  <c:v>347</c:v>
                </c:pt>
                <c:pt idx="106">
                  <c:v>305</c:v>
                </c:pt>
                <c:pt idx="107">
                  <c:v>336</c:v>
                </c:pt>
                <c:pt idx="108">
                  <c:v>340</c:v>
                </c:pt>
                <c:pt idx="109">
                  <c:v>318</c:v>
                </c:pt>
                <c:pt idx="110">
                  <c:v>362</c:v>
                </c:pt>
                <c:pt idx="111">
                  <c:v>348</c:v>
                </c:pt>
                <c:pt idx="112">
                  <c:v>363</c:v>
                </c:pt>
                <c:pt idx="113">
                  <c:v>435</c:v>
                </c:pt>
                <c:pt idx="114">
                  <c:v>491</c:v>
                </c:pt>
                <c:pt idx="115">
                  <c:v>505</c:v>
                </c:pt>
                <c:pt idx="116">
                  <c:v>404</c:v>
                </c:pt>
                <c:pt idx="117">
                  <c:v>359</c:v>
                </c:pt>
                <c:pt idx="118">
                  <c:v>310</c:v>
                </c:pt>
                <c:pt idx="119">
                  <c:v>337</c:v>
                </c:pt>
                <c:pt idx="120">
                  <c:v>360</c:v>
                </c:pt>
                <c:pt idx="121">
                  <c:v>342</c:v>
                </c:pt>
                <c:pt idx="122">
                  <c:v>406</c:v>
                </c:pt>
                <c:pt idx="123">
                  <c:v>396</c:v>
                </c:pt>
                <c:pt idx="124">
                  <c:v>420</c:v>
                </c:pt>
                <c:pt idx="125">
                  <c:v>472</c:v>
                </c:pt>
                <c:pt idx="126">
                  <c:v>548</c:v>
                </c:pt>
                <c:pt idx="127">
                  <c:v>559</c:v>
                </c:pt>
                <c:pt idx="128">
                  <c:v>463</c:v>
                </c:pt>
                <c:pt idx="129">
                  <c:v>407</c:v>
                </c:pt>
                <c:pt idx="130">
                  <c:v>362</c:v>
                </c:pt>
                <c:pt idx="131">
                  <c:v>405</c:v>
                </c:pt>
                <c:pt idx="132">
                  <c:v>417</c:v>
                </c:pt>
                <c:pt idx="133">
                  <c:v>391</c:v>
                </c:pt>
                <c:pt idx="134">
                  <c:v>419</c:v>
                </c:pt>
                <c:pt idx="135">
                  <c:v>461</c:v>
                </c:pt>
                <c:pt idx="136">
                  <c:v>472</c:v>
                </c:pt>
                <c:pt idx="137">
                  <c:v>535</c:v>
                </c:pt>
                <c:pt idx="138">
                  <c:v>622</c:v>
                </c:pt>
                <c:pt idx="139">
                  <c:v>606</c:v>
                </c:pt>
                <c:pt idx="140">
                  <c:v>508</c:v>
                </c:pt>
                <c:pt idx="141">
                  <c:v>461</c:v>
                </c:pt>
                <c:pt idx="142">
                  <c:v>390</c:v>
                </c:pt>
                <c:pt idx="143">
                  <c:v>432</c:v>
                </c:pt>
              </c:numCache>
            </c:numRef>
          </c:val>
          <c:smooth val="0"/>
        </c:ser>
        <c:ser>
          <c:idx val="1"/>
          <c:order val="1"/>
          <c:tx>
            <c:v>AirLine</c:v>
          </c:tx>
          <c:marker>
            <c:symbol val="none"/>
          </c:marker>
          <c:val>
            <c:numRef>
              <c:f>Modeling!$D$2:$D$145</c:f>
              <c:numCache>
                <c:formatCode>General</c:formatCode>
                <c:ptCount val="14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 formatCode="0">
                  <c:v>121.93313724171168</c:v>
                </c:pt>
                <c:pt idx="14" formatCode="0">
                  <c:v>139.24381654671708</c:v>
                </c:pt>
                <c:pt idx="15" formatCode="0">
                  <c:v>136.878241318421</c:v>
                </c:pt>
                <c:pt idx="16" formatCode="0">
                  <c:v>127.2503162912528</c:v>
                </c:pt>
                <c:pt idx="17" formatCode="0">
                  <c:v>141.33936487121844</c:v>
                </c:pt>
                <c:pt idx="18" formatCode="0">
                  <c:v>160.38060426965765</c:v>
                </c:pt>
                <c:pt idx="19" formatCode="0">
                  <c:v>165.96370000538971</c:v>
                </c:pt>
                <c:pt idx="20" formatCode="0">
                  <c:v>154.84976397175251</c:v>
                </c:pt>
                <c:pt idx="21" formatCode="0">
                  <c:v>136.6767194109388</c:v>
                </c:pt>
                <c:pt idx="22" formatCode="0">
                  <c:v>117.40106426415659</c:v>
                </c:pt>
                <c:pt idx="23" formatCode="0">
                  <c:v>131.86636193836844</c:v>
                </c:pt>
                <c:pt idx="24" formatCode="0">
                  <c:v>134.38100036802669</c:v>
                </c:pt>
                <c:pt idx="25" formatCode="0">
                  <c:v>151.92027974280325</c:v>
                </c:pt>
                <c:pt idx="26" formatCode="0">
                  <c:v>168.9554706269457</c:v>
                </c:pt>
                <c:pt idx="27" formatCode="0">
                  <c:v>167.96167464821013</c:v>
                </c:pt>
                <c:pt idx="28" formatCode="0">
                  <c:v>153.92251740267869</c:v>
                </c:pt>
                <c:pt idx="29" formatCode="0">
                  <c:v>190.73743607279548</c:v>
                </c:pt>
                <c:pt idx="30" formatCode="0">
                  <c:v>206.02525349915459</c:v>
                </c:pt>
                <c:pt idx="31" formatCode="0">
                  <c:v>201.97986296962648</c:v>
                </c:pt>
                <c:pt idx="32" formatCode="0">
                  <c:v>185.39279039738145</c:v>
                </c:pt>
                <c:pt idx="33" formatCode="0">
                  <c:v>157.75318242826918</c:v>
                </c:pt>
                <c:pt idx="34" formatCode="0">
                  <c:v>138.46473558476941</c:v>
                </c:pt>
                <c:pt idx="35" formatCode="0">
                  <c:v>170.25622372038839</c:v>
                </c:pt>
                <c:pt idx="36" formatCode="0">
                  <c:v>170.25538914447282</c:v>
                </c:pt>
                <c:pt idx="37" formatCode="0">
                  <c:v>179.94272194153348</c:v>
                </c:pt>
                <c:pt idx="38" formatCode="0">
                  <c:v>208.29747564849305</c:v>
                </c:pt>
                <c:pt idx="39" formatCode="0">
                  <c:v>186.65763165355619</c:v>
                </c:pt>
                <c:pt idx="40" formatCode="0">
                  <c:v>183.38506130095158</c:v>
                </c:pt>
                <c:pt idx="41" formatCode="0">
                  <c:v>199.43556148703288</c:v>
                </c:pt>
                <c:pt idx="42" formatCode="0">
                  <c:v>235.46321276159205</c:v>
                </c:pt>
                <c:pt idx="43" formatCode="0">
                  <c:v>232.40585678903827</c:v>
                </c:pt>
                <c:pt idx="44" formatCode="0">
                  <c:v>220.16160023086536</c:v>
                </c:pt>
                <c:pt idx="45" formatCode="0">
                  <c:v>185.712072734028</c:v>
                </c:pt>
                <c:pt idx="46" formatCode="0">
                  <c:v>167.11159391746514</c:v>
                </c:pt>
                <c:pt idx="47" formatCode="0">
                  <c:v>197.29620275914817</c:v>
                </c:pt>
                <c:pt idx="48" formatCode="0">
                  <c:v>199.97352794345119</c:v>
                </c:pt>
                <c:pt idx="49" formatCode="0">
                  <c:v>208.23248463666542</c:v>
                </c:pt>
                <c:pt idx="50" formatCode="0">
                  <c:v>222.99540321776385</c:v>
                </c:pt>
                <c:pt idx="51" formatCode="0">
                  <c:v>216.12863189209048</c:v>
                </c:pt>
                <c:pt idx="52" formatCode="0">
                  <c:v>228.42195007692999</c:v>
                </c:pt>
                <c:pt idx="53" formatCode="0">
                  <c:v>261.98122196641043</c:v>
                </c:pt>
                <c:pt idx="54" formatCode="0">
                  <c:v>271.79312722839819</c:v>
                </c:pt>
                <c:pt idx="55" formatCode="0">
                  <c:v>275.08188298179044</c:v>
                </c:pt>
                <c:pt idx="56" formatCode="0">
                  <c:v>243.36695670008015</c:v>
                </c:pt>
                <c:pt idx="57" formatCode="0">
                  <c:v>214.30210488262645</c:v>
                </c:pt>
                <c:pt idx="58" formatCode="0">
                  <c:v>189.85605877769737</c:v>
                </c:pt>
                <c:pt idx="59" formatCode="0">
                  <c:v>210.30749188469142</c:v>
                </c:pt>
                <c:pt idx="60" formatCode="0">
                  <c:v>208.19445860641898</c:v>
                </c:pt>
                <c:pt idx="61" formatCode="0">
                  <c:v>210.60060161038746</c:v>
                </c:pt>
                <c:pt idx="62" formatCode="0">
                  <c:v>228.96667908381957</c:v>
                </c:pt>
                <c:pt idx="63" formatCode="0">
                  <c:v>225.47662155474981</c:v>
                </c:pt>
                <c:pt idx="64" formatCode="0">
                  <c:v>223.83212511167355</c:v>
                </c:pt>
                <c:pt idx="65" formatCode="0">
                  <c:v>252.18188560417605</c:v>
                </c:pt>
                <c:pt idx="66" formatCode="0">
                  <c:v>281.18795423700107</c:v>
                </c:pt>
                <c:pt idx="67" formatCode="0">
                  <c:v>301.99110280825835</c:v>
                </c:pt>
                <c:pt idx="68" formatCode="0">
                  <c:v>261.11842963487618</c:v>
                </c:pt>
                <c:pt idx="69" formatCode="0">
                  <c:v>231.89641030129266</c:v>
                </c:pt>
                <c:pt idx="70" formatCode="0">
                  <c:v>200.55047760227143</c:v>
                </c:pt>
                <c:pt idx="71" formatCode="0">
                  <c:v>227.91336458990023</c:v>
                </c:pt>
                <c:pt idx="72" formatCode="0">
                  <c:v>232.17368053787629</c:v>
                </c:pt>
                <c:pt idx="73" formatCode="0">
                  <c:v>229.69125735891527</c:v>
                </c:pt>
                <c:pt idx="74" formatCode="0">
                  <c:v>280.35354887439991</c:v>
                </c:pt>
                <c:pt idx="75" formatCode="0">
                  <c:v>263.77096317461763</c:v>
                </c:pt>
                <c:pt idx="76" formatCode="0">
                  <c:v>270.09488656088359</c:v>
                </c:pt>
                <c:pt idx="77" formatCode="0">
                  <c:v>301.09445767493537</c:v>
                </c:pt>
                <c:pt idx="78" formatCode="0">
                  <c:v>345.63086603238429</c:v>
                </c:pt>
                <c:pt idx="79" formatCode="0">
                  <c:v>355.00771401333532</c:v>
                </c:pt>
                <c:pt idx="80" formatCode="0">
                  <c:v>309.14610933974819</c:v>
                </c:pt>
                <c:pt idx="81" formatCode="0">
                  <c:v>276.00318845637526</c:v>
                </c:pt>
                <c:pt idx="82" formatCode="0">
                  <c:v>241.83373788093971</c:v>
                </c:pt>
                <c:pt idx="83" formatCode="0">
                  <c:v>269.73102765190276</c:v>
                </c:pt>
                <c:pt idx="84" formatCode="0">
                  <c:v>285.16576150719413</c:v>
                </c:pt>
                <c:pt idx="85" formatCode="0">
                  <c:v>274.34752242224971</c:v>
                </c:pt>
                <c:pt idx="86" formatCode="0">
                  <c:v>323.99830781611973</c:v>
                </c:pt>
                <c:pt idx="87" formatCode="0">
                  <c:v>316.73676315189914</c:v>
                </c:pt>
                <c:pt idx="88" formatCode="0">
                  <c:v>317.00992546066516</c:v>
                </c:pt>
                <c:pt idx="89" formatCode="0">
                  <c:v>363.27164141403551</c:v>
                </c:pt>
                <c:pt idx="90" formatCode="0">
                  <c:v>420.90552106463809</c:v>
                </c:pt>
                <c:pt idx="91" formatCode="0">
                  <c:v>404.83087777295822</c:v>
                </c:pt>
                <c:pt idx="92" formatCode="0">
                  <c:v>361.19054158515445</c:v>
                </c:pt>
                <c:pt idx="93" formatCode="0">
                  <c:v>315.65922753562955</c:v>
                </c:pt>
                <c:pt idx="94" formatCode="0">
                  <c:v>270.25339749812741</c:v>
                </c:pt>
                <c:pt idx="95" formatCode="0">
                  <c:v>312.22780801457122</c:v>
                </c:pt>
                <c:pt idx="96" formatCode="0">
                  <c:v>317.67160006866442</c:v>
                </c:pt>
                <c:pt idx="97" formatCode="0">
                  <c:v>306.86746897776391</c:v>
                </c:pt>
                <c:pt idx="98" formatCode="0">
                  <c:v>351.3474930471952</c:v>
                </c:pt>
                <c:pt idx="99" formatCode="0">
                  <c:v>350.11342112290515</c:v>
                </c:pt>
                <c:pt idx="100" formatCode="0">
                  <c:v>353.29271299481172</c:v>
                </c:pt>
                <c:pt idx="101" formatCode="0">
                  <c:v>411.70194922228757</c:v>
                </c:pt>
                <c:pt idx="102" formatCode="0">
                  <c:v>467.75485306820758</c:v>
                </c:pt>
                <c:pt idx="103" formatCode="0">
                  <c:v>455.56910973099525</c:v>
                </c:pt>
                <c:pt idx="104" formatCode="0">
                  <c:v>408.3974196624286</c:v>
                </c:pt>
                <c:pt idx="105" formatCode="0">
                  <c:v>353.62931131034276</c:v>
                </c:pt>
                <c:pt idx="106" formatCode="0">
                  <c:v>307.6880484340877</c:v>
                </c:pt>
                <c:pt idx="107" formatCode="0">
                  <c:v>349.0282754537775</c:v>
                </c:pt>
                <c:pt idx="108" formatCode="0">
                  <c:v>351.52307138195818</c:v>
                </c:pt>
                <c:pt idx="109" formatCode="0">
                  <c:v>331.84222735291235</c:v>
                </c:pt>
                <c:pt idx="110" formatCode="0">
                  <c:v>379.38479438636057</c:v>
                </c:pt>
                <c:pt idx="111" formatCode="0">
                  <c:v>362.80977854117282</c:v>
                </c:pt>
                <c:pt idx="112" formatCode="0">
                  <c:v>360.15747931531223</c:v>
                </c:pt>
                <c:pt idx="113" formatCode="0">
                  <c:v>425.92373464556954</c:v>
                </c:pt>
                <c:pt idx="114" formatCode="0">
                  <c:v>478.68720816958319</c:v>
                </c:pt>
                <c:pt idx="115" formatCode="0">
                  <c:v>482.20932586496315</c:v>
                </c:pt>
                <c:pt idx="116" formatCode="0">
                  <c:v>432.69665499910224</c:v>
                </c:pt>
                <c:pt idx="117" formatCode="0">
                  <c:v>359.46387748748441</c:v>
                </c:pt>
                <c:pt idx="118" formatCode="0">
                  <c:v>315.93256515392903</c:v>
                </c:pt>
                <c:pt idx="119" formatCode="0">
                  <c:v>349.59748873581941</c:v>
                </c:pt>
                <c:pt idx="120" formatCode="0">
                  <c:v>349.05950480127728</c:v>
                </c:pt>
                <c:pt idx="121" formatCode="0">
                  <c:v>336.74637770798137</c:v>
                </c:pt>
                <c:pt idx="122" formatCode="0">
                  <c:v>391.94785938328039</c:v>
                </c:pt>
                <c:pt idx="123" formatCode="0">
                  <c:v>388.50025305289392</c:v>
                </c:pt>
                <c:pt idx="124" formatCode="0">
                  <c:v>405.35374248701049</c:v>
                </c:pt>
                <c:pt idx="125" formatCode="0">
                  <c:v>492.16049796453308</c:v>
                </c:pt>
                <c:pt idx="126" formatCode="0">
                  <c:v>538.32784592572375</c:v>
                </c:pt>
                <c:pt idx="127" formatCode="0">
                  <c:v>550.87421807434282</c:v>
                </c:pt>
                <c:pt idx="128" formatCode="0">
                  <c:v>462.23601729670304</c:v>
                </c:pt>
                <c:pt idx="129" formatCode="0">
                  <c:v>406.32091532163065</c:v>
                </c:pt>
                <c:pt idx="130" formatCode="0">
                  <c:v>354.18058488924459</c:v>
                </c:pt>
                <c:pt idx="131" formatCode="0">
                  <c:v>395.07570094371141</c:v>
                </c:pt>
                <c:pt idx="132" formatCode="0">
                  <c:v>419.6504860499175</c:v>
                </c:pt>
                <c:pt idx="133" formatCode="0">
                  <c:v>396.8555996532512</c:v>
                </c:pt>
                <c:pt idx="134" formatCode="0">
                  <c:v>461.28323210850959</c:v>
                </c:pt>
                <c:pt idx="135" formatCode="0">
                  <c:v>424.69203236378718</c:v>
                </c:pt>
                <c:pt idx="136" formatCode="0">
                  <c:v>466.90987683635865</c:v>
                </c:pt>
                <c:pt idx="137" formatCode="0">
                  <c:v>541.60086904337766</c:v>
                </c:pt>
                <c:pt idx="138" formatCode="0">
                  <c:v>614.84487704324874</c:v>
                </c:pt>
                <c:pt idx="139" formatCode="0">
                  <c:v>629.60120289298516</c:v>
                </c:pt>
                <c:pt idx="140" formatCode="0">
                  <c:v>511.14652181362936</c:v>
                </c:pt>
                <c:pt idx="141" formatCode="0">
                  <c:v>447.64472470043029</c:v>
                </c:pt>
                <c:pt idx="142" formatCode="0">
                  <c:v>401.37800130350661</c:v>
                </c:pt>
                <c:pt idx="143" formatCode="0">
                  <c:v>438.66131583959174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666624"/>
        <c:axId val="212680704"/>
      </c:lineChart>
      <c:dateAx>
        <c:axId val="212666624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crossAx val="212680704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2126807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126666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AirLine Forecast for LogX</a:t>
            </a:r>
          </a:p>
        </c:rich>
      </c:tx>
      <c:layout/>
      <c:overlay val="1"/>
    </c:title>
    <c:autoTitleDeleted val="0"/>
    <c:plotArea>
      <c:layout/>
      <c:areaChart>
        <c:grouping val="stacked"/>
        <c:varyColors val="0"/>
        <c:ser>
          <c:idx val="0"/>
          <c:order val="0"/>
          <c:spPr>
            <a:noFill/>
            <a:ln>
              <a:noFill/>
            </a:ln>
          </c:spPr>
          <c:cat>
            <c:numRef>
              <c:f>Modeling!$E$37:$E$63</c:f>
              <c:numCache>
                <c:formatCode>[$-409]mmm\-yy;@</c:formatCode>
                <c:ptCount val="27"/>
                <c:pt idx="0">
                  <c:v>22282</c:v>
                </c:pt>
                <c:pt idx="1">
                  <c:v>22313</c:v>
                </c:pt>
                <c:pt idx="2">
                  <c:v>22341</c:v>
                </c:pt>
                <c:pt idx="3">
                  <c:v>22372</c:v>
                </c:pt>
                <c:pt idx="4">
                  <c:v>22402</c:v>
                </c:pt>
                <c:pt idx="5">
                  <c:v>22433</c:v>
                </c:pt>
                <c:pt idx="6">
                  <c:v>22463</c:v>
                </c:pt>
                <c:pt idx="7">
                  <c:v>22494</c:v>
                </c:pt>
                <c:pt idx="8">
                  <c:v>22525</c:v>
                </c:pt>
                <c:pt idx="9">
                  <c:v>22555</c:v>
                </c:pt>
                <c:pt idx="10">
                  <c:v>22586</c:v>
                </c:pt>
                <c:pt idx="11">
                  <c:v>22616</c:v>
                </c:pt>
                <c:pt idx="12">
                  <c:v>22647</c:v>
                </c:pt>
                <c:pt idx="13">
                  <c:v>22678</c:v>
                </c:pt>
                <c:pt idx="14">
                  <c:v>22706</c:v>
                </c:pt>
                <c:pt idx="15">
                  <c:v>22737</c:v>
                </c:pt>
                <c:pt idx="16">
                  <c:v>22767</c:v>
                </c:pt>
                <c:pt idx="17">
                  <c:v>22798</c:v>
                </c:pt>
                <c:pt idx="18">
                  <c:v>22828</c:v>
                </c:pt>
                <c:pt idx="19">
                  <c:v>22859</c:v>
                </c:pt>
                <c:pt idx="20">
                  <c:v>22890</c:v>
                </c:pt>
                <c:pt idx="21">
                  <c:v>22920</c:v>
                </c:pt>
                <c:pt idx="22">
                  <c:v>22951</c:v>
                </c:pt>
                <c:pt idx="23">
                  <c:v>22981</c:v>
                </c:pt>
                <c:pt idx="24">
                  <c:v>23012</c:v>
                </c:pt>
                <c:pt idx="25">
                  <c:v>23043</c:v>
                </c:pt>
                <c:pt idx="26">
                  <c:v>23071</c:v>
                </c:pt>
              </c:numCache>
            </c:numRef>
          </c:cat>
          <c:val>
            <c:numRef>
              <c:f>Modeling!$J$37:$J$63</c:f>
              <c:numCache>
                <c:formatCode>0.00</c:formatCode>
                <c:ptCount val="27"/>
                <c:pt idx="0">
                  <c:v>6.0343961206230103</c:v>
                </c:pt>
                <c:pt idx="1">
                  <c:v>5.9585022864459143</c:v>
                </c:pt>
                <c:pt idx="2">
                  <c:v>6.0175746859618569</c:v>
                </c:pt>
                <c:pt idx="3">
                  <c:v>6.1040178531296885</c:v>
                </c:pt>
                <c:pt idx="4">
                  <c:v>6.1192756139101103</c:v>
                </c:pt>
                <c:pt idx="5">
                  <c:v>6.23684122907658</c:v>
                </c:pt>
                <c:pt idx="6">
                  <c:v>6.3802828540770564</c:v>
                </c:pt>
                <c:pt idx="7">
                  <c:v>6.3474011055403077</c:v>
                </c:pt>
                <c:pt idx="8">
                  <c:v>6.1645304601125135</c:v>
                </c:pt>
                <c:pt idx="9">
                  <c:v>6.0531501090747382</c:v>
                </c:pt>
                <c:pt idx="10">
                  <c:v>5.8986340913611519</c:v>
                </c:pt>
                <c:pt idx="11">
                  <c:v>5.9990383159959091</c:v>
                </c:pt>
                <c:pt idx="12">
                  <c:v>6.0149898603035172</c:v>
                </c:pt>
                <c:pt idx="13">
                  <c:v>5.9390218694737706</c:v>
                </c:pt>
                <c:pt idx="14">
                  <c:v>5.9973074144139389</c:v>
                </c:pt>
                <c:pt idx="15">
                  <c:v>6.0825563617036122</c:v>
                </c:pt>
                <c:pt idx="16">
                  <c:v>6.0963734588145453</c:v>
                </c:pt>
                <c:pt idx="17">
                  <c:v>6.2123448888008603</c:v>
                </c:pt>
                <c:pt idx="18">
                  <c:v>6.3540959255402027</c:v>
                </c:pt>
                <c:pt idx="19">
                  <c:v>6.3194639168432616</c:v>
                </c:pt>
                <c:pt idx="20">
                  <c:v>6.1348077661213338</c:v>
                </c:pt>
                <c:pt idx="21">
                  <c:v>6.0216233234717782</c:v>
                </c:pt>
                <c:pt idx="22">
                  <c:v>5.8652962040088763</c:v>
                </c:pt>
                <c:pt idx="23">
                  <c:v>5.9638904694284705</c:v>
                </c:pt>
                <c:pt idx="24">
                  <c:v>5.9811508923269709</c:v>
                </c:pt>
                <c:pt idx="25">
                  <c:v>5.9042178821667868</c:v>
                </c:pt>
                <c:pt idx="26">
                  <c:v>5.9613603321914486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cat>
            <c:numRef>
              <c:f>Modeling!$E$37:$E$63</c:f>
              <c:numCache>
                <c:formatCode>[$-409]mmm\-yy;@</c:formatCode>
                <c:ptCount val="27"/>
                <c:pt idx="0">
                  <c:v>22282</c:v>
                </c:pt>
                <c:pt idx="1">
                  <c:v>22313</c:v>
                </c:pt>
                <c:pt idx="2">
                  <c:v>22341</c:v>
                </c:pt>
                <c:pt idx="3">
                  <c:v>22372</c:v>
                </c:pt>
                <c:pt idx="4">
                  <c:v>22402</c:v>
                </c:pt>
                <c:pt idx="5">
                  <c:v>22433</c:v>
                </c:pt>
                <c:pt idx="6">
                  <c:v>22463</c:v>
                </c:pt>
                <c:pt idx="7">
                  <c:v>22494</c:v>
                </c:pt>
                <c:pt idx="8">
                  <c:v>22525</c:v>
                </c:pt>
                <c:pt idx="9">
                  <c:v>22555</c:v>
                </c:pt>
                <c:pt idx="10">
                  <c:v>22586</c:v>
                </c:pt>
                <c:pt idx="11">
                  <c:v>22616</c:v>
                </c:pt>
                <c:pt idx="12">
                  <c:v>22647</c:v>
                </c:pt>
                <c:pt idx="13">
                  <c:v>22678</c:v>
                </c:pt>
                <c:pt idx="14">
                  <c:v>22706</c:v>
                </c:pt>
                <c:pt idx="15">
                  <c:v>22737</c:v>
                </c:pt>
                <c:pt idx="16">
                  <c:v>22767</c:v>
                </c:pt>
                <c:pt idx="17">
                  <c:v>22798</c:v>
                </c:pt>
                <c:pt idx="18">
                  <c:v>22828</c:v>
                </c:pt>
                <c:pt idx="19">
                  <c:v>22859</c:v>
                </c:pt>
                <c:pt idx="20">
                  <c:v>22890</c:v>
                </c:pt>
                <c:pt idx="21">
                  <c:v>22920</c:v>
                </c:pt>
                <c:pt idx="22">
                  <c:v>22951</c:v>
                </c:pt>
                <c:pt idx="23">
                  <c:v>22981</c:v>
                </c:pt>
                <c:pt idx="24">
                  <c:v>23012</c:v>
                </c:pt>
                <c:pt idx="25">
                  <c:v>23043</c:v>
                </c:pt>
                <c:pt idx="26">
                  <c:v>23071</c:v>
                </c:pt>
              </c:numCache>
            </c:numRef>
          </c:cat>
          <c:val>
            <c:numRef>
              <c:f>Modeling!$K$37:$K$63</c:f>
              <c:numCache>
                <c:formatCode>0.00</c:formatCode>
                <c:ptCount val="27"/>
                <c:pt idx="0">
                  <c:v>0.1499333279810493</c:v>
                </c:pt>
                <c:pt idx="1">
                  <c:v>0.17354543246515419</c:v>
                </c:pt>
                <c:pt idx="2">
                  <c:v>0.19430911306359633</c:v>
                </c:pt>
                <c:pt idx="3">
                  <c:v>0.21305878463373951</c:v>
                </c:pt>
                <c:pt idx="4">
                  <c:v>0.23028690800749096</c:v>
                </c:pt>
                <c:pt idx="5">
                  <c:v>0.24631296005223646</c:v>
                </c:pt>
                <c:pt idx="6">
                  <c:v>0.26135816149441204</c:v>
                </c:pt>
                <c:pt idx="7">
                  <c:v>0.27558320498496158</c:v>
                </c:pt>
                <c:pt idx="8">
                  <c:v>0.28910917861567142</c:v>
                </c:pt>
                <c:pt idx="9">
                  <c:v>0.30203001746494174</c:v>
                </c:pt>
                <c:pt idx="10">
                  <c:v>0.31442033289836147</c:v>
                </c:pt>
                <c:pt idx="11">
                  <c:v>0.32634055835884368</c:v>
                </c:pt>
                <c:pt idx="12">
                  <c:v>0.36842205156229824</c:v>
                </c:pt>
                <c:pt idx="13">
                  <c:v>0.39276422910849007</c:v>
                </c:pt>
                <c:pt idx="14">
                  <c:v>0.41568337861526494</c:v>
                </c:pt>
                <c:pt idx="15">
                  <c:v>0.43740324969850874</c:v>
                </c:pt>
                <c:pt idx="16">
                  <c:v>0.45809446016802191</c:v>
                </c:pt>
                <c:pt idx="17">
                  <c:v>0.47789064232985901</c:v>
                </c:pt>
                <c:pt idx="18">
                  <c:v>0.49689878005108845</c:v>
                </c:pt>
                <c:pt idx="19">
                  <c:v>0.5152061036188087</c:v>
                </c:pt>
                <c:pt idx="20">
                  <c:v>0.53288484759457155</c:v>
                </c:pt>
                <c:pt idx="21">
                  <c:v>0.54999562942418478</c:v>
                </c:pt>
                <c:pt idx="22">
                  <c:v>0.5665899081130199</c:v>
                </c:pt>
                <c:pt idx="23">
                  <c:v>0.58271181176061226</c:v>
                </c:pt>
                <c:pt idx="24">
                  <c:v>0.62275730753906799</c:v>
                </c:pt>
                <c:pt idx="25">
                  <c:v>0.6496112835029173</c:v>
                </c:pt>
                <c:pt idx="26">
                  <c:v>0.67539838259749096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706432"/>
        <c:axId val="212707968"/>
      </c:areaChart>
      <c:lineChart>
        <c:grouping val="standard"/>
        <c:varyColors val="0"/>
        <c:ser>
          <c:idx val="2"/>
          <c:order val="2"/>
          <c:tx>
            <c:strRef>
              <c:f>Modeling!$G$36</c:f>
              <c:strCache>
                <c:ptCount val="1"/>
                <c:pt idx="0">
                  <c:v>Mean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triangle"/>
            <c:size val="7"/>
            <c:spPr>
              <a:solidFill>
                <a:schemeClr val="tx1"/>
              </a:solidFill>
            </c:spPr>
          </c:marker>
          <c:val>
            <c:numRef>
              <c:f>Modeling!$G$37:$G$63</c:f>
              <c:numCache>
                <c:formatCode>0.00</c:formatCode>
                <c:ptCount val="27"/>
                <c:pt idx="0">
                  <c:v>6.109362784613535</c:v>
                </c:pt>
                <c:pt idx="1">
                  <c:v>6.0452750026784914</c:v>
                </c:pt>
                <c:pt idx="2">
                  <c:v>6.114729242493655</c:v>
                </c:pt>
                <c:pt idx="3">
                  <c:v>6.2105472454465582</c:v>
                </c:pt>
                <c:pt idx="4">
                  <c:v>6.2344190679138558</c:v>
                </c:pt>
                <c:pt idx="5">
                  <c:v>6.3599977091026982</c:v>
                </c:pt>
                <c:pt idx="6">
                  <c:v>6.5109619348242624</c:v>
                </c:pt>
                <c:pt idx="7">
                  <c:v>6.4851927080327885</c:v>
                </c:pt>
                <c:pt idx="8">
                  <c:v>6.3090850494203492</c:v>
                </c:pt>
                <c:pt idx="9">
                  <c:v>6.204165117807209</c:v>
                </c:pt>
                <c:pt idx="10">
                  <c:v>6.0558442578103326</c:v>
                </c:pt>
                <c:pt idx="11">
                  <c:v>6.1622085951753309</c:v>
                </c:pt>
                <c:pt idx="12">
                  <c:v>6.1992008860846664</c:v>
                </c:pt>
                <c:pt idx="13">
                  <c:v>6.1354039840280157</c:v>
                </c:pt>
                <c:pt idx="14">
                  <c:v>6.2051491037215714</c:v>
                </c:pt>
                <c:pt idx="15">
                  <c:v>6.3012579865528666</c:v>
                </c:pt>
                <c:pt idx="16">
                  <c:v>6.3254206888985562</c:v>
                </c:pt>
                <c:pt idx="17">
                  <c:v>6.4512902099657898</c:v>
                </c:pt>
                <c:pt idx="18">
                  <c:v>6.602545315565747</c:v>
                </c:pt>
                <c:pt idx="19">
                  <c:v>6.5770669686526659</c:v>
                </c:pt>
                <c:pt idx="20">
                  <c:v>6.4012501899186196</c:v>
                </c:pt>
                <c:pt idx="21">
                  <c:v>6.2966211381838706</c:v>
                </c:pt>
                <c:pt idx="22">
                  <c:v>6.1485911580653863</c:v>
                </c:pt>
                <c:pt idx="23">
                  <c:v>6.2552463753087766</c:v>
                </c:pt>
                <c:pt idx="24">
                  <c:v>6.2925295460965049</c:v>
                </c:pt>
                <c:pt idx="25">
                  <c:v>6.2290235239182454</c:v>
                </c:pt>
                <c:pt idx="26">
                  <c:v>6.299059523490194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706432"/>
        <c:axId val="212707968"/>
      </c:lineChart>
      <c:dateAx>
        <c:axId val="212706432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crossAx val="212707968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212707968"/>
        <c:scaling>
          <c:orientation val="minMax"/>
          <c:max val="7"/>
          <c:min val="5.8"/>
        </c:scaling>
        <c:delete val="0"/>
        <c:axPos val="l"/>
        <c:numFmt formatCode="0.00" sourceLinked="1"/>
        <c:majorTickMark val="out"/>
        <c:minorTickMark val="none"/>
        <c:tickLblPos val="nextTo"/>
        <c:crossAx val="212706432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1</xdr:rowOff>
    </xdr:from>
    <xdr:to>
      <xdr:col>18</xdr:col>
      <xdr:colOff>28575</xdr:colOff>
      <xdr:row>16</xdr:row>
      <xdr:rowOff>161926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31750</xdr:colOff>
      <xdr:row>32</xdr:row>
      <xdr:rowOff>25399</xdr:rowOff>
    </xdr:from>
    <xdr:to>
      <xdr:col>17</xdr:col>
      <xdr:colOff>603250</xdr:colOff>
      <xdr:row>49</xdr:row>
      <xdr:rowOff>137583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222249</xdr:colOff>
      <xdr:row>64</xdr:row>
      <xdr:rowOff>0</xdr:rowOff>
    </xdr:from>
    <xdr:to>
      <xdr:col>24</xdr:col>
      <xdr:colOff>95250</xdr:colOff>
      <xdr:row>77</xdr:row>
      <xdr:rowOff>74084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306917</xdr:colOff>
      <xdr:row>77</xdr:row>
      <xdr:rowOff>74084</xdr:rowOff>
    </xdr:from>
    <xdr:to>
      <xdr:col>24</xdr:col>
      <xdr:colOff>178595</xdr:colOff>
      <xdr:row>91</xdr:row>
      <xdr:rowOff>63500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202406</xdr:colOff>
      <xdr:row>93</xdr:row>
      <xdr:rowOff>3571</xdr:rowOff>
    </xdr:from>
    <xdr:to>
      <xdr:col>20</xdr:col>
      <xdr:colOff>59531</xdr:colOff>
      <xdr:row>111</xdr:row>
      <xdr:rowOff>130969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583406</xdr:colOff>
      <xdr:row>113</xdr:row>
      <xdr:rowOff>71437</xdr:rowOff>
    </xdr:from>
    <xdr:to>
      <xdr:col>24</xdr:col>
      <xdr:colOff>392906</xdr:colOff>
      <xdr:row>127</xdr:row>
      <xdr:rowOff>23813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59531</xdr:colOff>
      <xdr:row>127</xdr:row>
      <xdr:rowOff>119063</xdr:rowOff>
    </xdr:from>
    <xdr:to>
      <xdr:col>24</xdr:col>
      <xdr:colOff>476250</xdr:colOff>
      <xdr:row>139</xdr:row>
      <xdr:rowOff>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161924</xdr:rowOff>
    </xdr:from>
    <xdr:to>
      <xdr:col>20</xdr:col>
      <xdr:colOff>581025</xdr:colOff>
      <xdr:row>19</xdr:row>
      <xdr:rowOff>76199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</xdr:colOff>
      <xdr:row>65</xdr:row>
      <xdr:rowOff>142875</xdr:rowOff>
    </xdr:from>
    <xdr:to>
      <xdr:col>14</xdr:col>
      <xdr:colOff>345281</xdr:colOff>
      <xdr:row>88</xdr:row>
      <xdr:rowOff>107157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504824</xdr:colOff>
      <xdr:row>65</xdr:row>
      <xdr:rowOff>85725</xdr:rowOff>
    </xdr:from>
    <xdr:to>
      <xdr:col>25</xdr:col>
      <xdr:colOff>83343</xdr:colOff>
      <xdr:row>87</xdr:row>
      <xdr:rowOff>11907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piderfinancial.com/tips-demos" TargetMode="External"/><Relationship Id="rId2" Type="http://schemas.openxmlformats.org/officeDocument/2006/relationships/hyperlink" Target="http://support.sas.com/documentation/cdl/en/etsug/60372/HTML/default/viewer.htm" TargetMode="External"/><Relationship Id="rId1" Type="http://schemas.openxmlformats.org/officeDocument/2006/relationships/hyperlink" Target="http://www.stat.wisc.edu/~reinsel/bjr-dat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6"/>
  <sheetViews>
    <sheetView workbookViewId="0">
      <selection activeCell="E36" sqref="E36"/>
    </sheetView>
  </sheetViews>
  <sheetFormatPr defaultRowHeight="15" x14ac:dyDescent="0.25"/>
  <cols>
    <col min="2" max="2" width="22.140625" customWidth="1"/>
  </cols>
  <sheetData>
    <row r="4" spans="2:3" ht="15.75" thickBot="1" x14ac:dyDescent="0.3">
      <c r="B4" s="24" t="s">
        <v>57</v>
      </c>
    </row>
    <row r="5" spans="2:3" x14ac:dyDescent="0.25">
      <c r="B5" t="s">
        <v>53</v>
      </c>
      <c r="C5" s="23" t="s">
        <v>54</v>
      </c>
    </row>
    <row r="6" spans="2:3" x14ac:dyDescent="0.25">
      <c r="C6" s="23"/>
    </row>
    <row r="7" spans="2:3" x14ac:dyDescent="0.25">
      <c r="C7" s="23"/>
    </row>
    <row r="8" spans="2:3" x14ac:dyDescent="0.25">
      <c r="C8" s="23"/>
    </row>
    <row r="9" spans="2:3" x14ac:dyDescent="0.25">
      <c r="C9" s="23"/>
    </row>
    <row r="10" spans="2:3" x14ac:dyDescent="0.25">
      <c r="C10" s="23"/>
    </row>
    <row r="11" spans="2:3" x14ac:dyDescent="0.25">
      <c r="C11" s="23"/>
    </row>
    <row r="13" spans="2:3" ht="15.75" thickBot="1" x14ac:dyDescent="0.3">
      <c r="B13" s="24" t="s">
        <v>56</v>
      </c>
    </row>
    <row r="14" spans="2:3" x14ac:dyDescent="0.25">
      <c r="B14" t="s">
        <v>55</v>
      </c>
      <c r="C14" s="23" t="s">
        <v>50</v>
      </c>
    </row>
    <row r="16" spans="2:3" x14ac:dyDescent="0.25">
      <c r="B16" t="s">
        <v>58</v>
      </c>
      <c r="C16" s="23" t="s">
        <v>59</v>
      </c>
    </row>
  </sheetData>
  <hyperlinks>
    <hyperlink ref="C5" r:id="rId1"/>
    <hyperlink ref="C14" r:id="rId2" location="etsug_arima_sect056.htm#etsug.arima.ariex02b"/>
    <hyperlink ref="C16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5"/>
  <sheetViews>
    <sheetView tabSelected="1" topLeftCell="A55" zoomScale="80" zoomScaleNormal="80" workbookViewId="0">
      <selection activeCell="AB92" sqref="AB92"/>
    </sheetView>
  </sheetViews>
  <sheetFormatPr defaultRowHeight="15" x14ac:dyDescent="0.25"/>
  <cols>
    <col min="1" max="1" width="10.28515625" style="5" customWidth="1"/>
    <col min="2" max="4" width="11.5703125" style="5" customWidth="1"/>
    <col min="5" max="5" width="10.7109375" customWidth="1"/>
  </cols>
  <sheetData>
    <row r="1" spans="1:6" ht="79.5" customHeight="1" thickBot="1" x14ac:dyDescent="0.3">
      <c r="A1" s="25" t="s">
        <v>51</v>
      </c>
      <c r="B1" s="27" t="s">
        <v>52</v>
      </c>
      <c r="C1" s="27" t="s">
        <v>60</v>
      </c>
      <c r="D1" s="28" t="s">
        <v>61</v>
      </c>
      <c r="E1" s="29" t="s">
        <v>62</v>
      </c>
      <c r="F1" s="22"/>
    </row>
    <row r="2" spans="1:6" x14ac:dyDescent="0.25">
      <c r="A2" s="26">
        <v>17899</v>
      </c>
      <c r="B2" s="5">
        <v>112</v>
      </c>
      <c r="C2" s="19">
        <f>LN(B2)</f>
        <v>4.7184988712950942</v>
      </c>
      <c r="D2" s="19" t="e">
        <f t="array" ref="D2:D145">_xll.DIFF($C$2:$C$145,1,1)</f>
        <v>#N/A</v>
      </c>
      <c r="E2" t="e">
        <f t="array" ref="E2:E145">_xll.DIFF(_xll.DIFF($C$2:$C$145,1,1),1,12)</f>
        <v>#N/A</v>
      </c>
    </row>
    <row r="3" spans="1:6" x14ac:dyDescent="0.25">
      <c r="A3" s="26">
        <v>17930</v>
      </c>
      <c r="B3" s="5">
        <v>118</v>
      </c>
      <c r="C3" s="19">
        <f t="shared" ref="C3:C66" si="0">LN(B3)</f>
        <v>4.7706846244656651</v>
      </c>
      <c r="D3" s="19">
        <v>5.2185753170570948E-2</v>
      </c>
      <c r="E3" t="e">
        <v>#N/A</v>
      </c>
    </row>
    <row r="4" spans="1:6" x14ac:dyDescent="0.25">
      <c r="A4" s="26">
        <v>17958</v>
      </c>
      <c r="B4" s="5">
        <v>132</v>
      </c>
      <c r="C4" s="19">
        <f t="shared" si="0"/>
        <v>4.8828019225863706</v>
      </c>
      <c r="D4" s="19">
        <v>0.11211729812070548</v>
      </c>
      <c r="E4" t="e">
        <v>#N/A</v>
      </c>
    </row>
    <row r="5" spans="1:6" x14ac:dyDescent="0.25">
      <c r="A5" s="26">
        <v>17989</v>
      </c>
      <c r="B5" s="5">
        <v>129</v>
      </c>
      <c r="C5" s="19">
        <f t="shared" si="0"/>
        <v>4.8598124043616719</v>
      </c>
      <c r="D5" s="19">
        <v>-2.2989518224698635E-2</v>
      </c>
      <c r="E5" t="e">
        <v>#N/A</v>
      </c>
    </row>
    <row r="6" spans="1:6" x14ac:dyDescent="0.25">
      <c r="A6" s="26">
        <v>18019</v>
      </c>
      <c r="B6" s="5">
        <v>121</v>
      </c>
      <c r="C6" s="19">
        <f t="shared" si="0"/>
        <v>4.7957905455967413</v>
      </c>
      <c r="D6" s="19">
        <v>-6.4021858764930606E-2</v>
      </c>
      <c r="E6" t="e">
        <v>#N/A</v>
      </c>
    </row>
    <row r="7" spans="1:6" x14ac:dyDescent="0.25">
      <c r="A7" s="26">
        <v>18050</v>
      </c>
      <c r="B7" s="5">
        <v>135</v>
      </c>
      <c r="C7" s="19">
        <f t="shared" si="0"/>
        <v>4.9052747784384296</v>
      </c>
      <c r="D7" s="19">
        <v>0.10948423284168829</v>
      </c>
      <c r="E7" t="e">
        <v>#N/A</v>
      </c>
    </row>
    <row r="8" spans="1:6" x14ac:dyDescent="0.25">
      <c r="A8" s="26">
        <v>18080</v>
      </c>
      <c r="B8" s="5">
        <v>148</v>
      </c>
      <c r="C8" s="19">
        <f t="shared" si="0"/>
        <v>4.9972122737641147</v>
      </c>
      <c r="D8" s="19">
        <v>9.193749532568507E-2</v>
      </c>
      <c r="E8" t="e">
        <v>#N/A</v>
      </c>
    </row>
    <row r="9" spans="1:6" x14ac:dyDescent="0.25">
      <c r="A9" s="26">
        <v>18111</v>
      </c>
      <c r="B9" s="5">
        <v>148</v>
      </c>
      <c r="C9" s="19">
        <f t="shared" si="0"/>
        <v>4.9972122737641147</v>
      </c>
      <c r="D9" s="19">
        <v>0</v>
      </c>
      <c r="E9" t="e">
        <v>#N/A</v>
      </c>
    </row>
    <row r="10" spans="1:6" x14ac:dyDescent="0.25">
      <c r="A10" s="26">
        <v>18142</v>
      </c>
      <c r="B10" s="5">
        <v>136</v>
      </c>
      <c r="C10" s="19">
        <f t="shared" si="0"/>
        <v>4.9126548857360524</v>
      </c>
      <c r="D10" s="19">
        <v>-8.4557388028062341E-2</v>
      </c>
      <c r="E10" t="e">
        <v>#N/A</v>
      </c>
    </row>
    <row r="11" spans="1:6" x14ac:dyDescent="0.25">
      <c r="A11" s="26">
        <v>18172</v>
      </c>
      <c r="B11" s="5">
        <v>119</v>
      </c>
      <c r="C11" s="19">
        <f t="shared" si="0"/>
        <v>4.7791234931115296</v>
      </c>
      <c r="D11" s="19">
        <v>-0.13353139262452274</v>
      </c>
      <c r="E11" t="e">
        <v>#N/A</v>
      </c>
    </row>
    <row r="12" spans="1:6" x14ac:dyDescent="0.25">
      <c r="A12" s="26">
        <v>18203</v>
      </c>
      <c r="B12" s="5">
        <v>104</v>
      </c>
      <c r="C12" s="19">
        <f t="shared" si="0"/>
        <v>4.6443908991413725</v>
      </c>
      <c r="D12" s="19">
        <v>-0.13473259397015713</v>
      </c>
      <c r="E12" t="e">
        <v>#N/A</v>
      </c>
    </row>
    <row r="13" spans="1:6" x14ac:dyDescent="0.25">
      <c r="A13" s="26">
        <v>18233</v>
      </c>
      <c r="B13" s="5">
        <v>118</v>
      </c>
      <c r="C13" s="19">
        <f t="shared" si="0"/>
        <v>4.7706846244656651</v>
      </c>
      <c r="D13" s="19">
        <v>0.12629372532429262</v>
      </c>
      <c r="E13" t="e">
        <v>#N/A</v>
      </c>
    </row>
    <row r="14" spans="1:6" x14ac:dyDescent="0.25">
      <c r="A14" s="26">
        <v>18264</v>
      </c>
      <c r="B14" s="5">
        <v>115</v>
      </c>
      <c r="C14" s="19">
        <f t="shared" si="0"/>
        <v>4.7449321283632502</v>
      </c>
      <c r="D14" s="19">
        <v>-2.5752496102414923E-2</v>
      </c>
      <c r="E14" t="e">
        <v>#N/A</v>
      </c>
    </row>
    <row r="15" spans="1:6" x14ac:dyDescent="0.25">
      <c r="A15" s="26">
        <v>18295</v>
      </c>
      <c r="B15" s="5">
        <v>126</v>
      </c>
      <c r="C15" s="19">
        <f t="shared" si="0"/>
        <v>4.836281906951478</v>
      </c>
      <c r="D15" s="19">
        <v>9.1349778588227792E-2</v>
      </c>
      <c r="E15">
        <v>3.9164025417656845E-2</v>
      </c>
    </row>
    <row r="16" spans="1:6" x14ac:dyDescent="0.25">
      <c r="A16" s="26">
        <v>18323</v>
      </c>
      <c r="B16" s="5">
        <v>141</v>
      </c>
      <c r="C16" s="19">
        <f t="shared" si="0"/>
        <v>4.9487598903781684</v>
      </c>
      <c r="D16" s="19">
        <v>0.11247798342669046</v>
      </c>
      <c r="E16">
        <v>3.6068530598498683E-4</v>
      </c>
    </row>
    <row r="17" spans="1:18" x14ac:dyDescent="0.25">
      <c r="A17" s="26">
        <v>18354</v>
      </c>
      <c r="B17" s="5">
        <v>135</v>
      </c>
      <c r="C17" s="19">
        <f t="shared" si="0"/>
        <v>4.9052747784384296</v>
      </c>
      <c r="D17" s="19">
        <v>-4.3485111939738808E-2</v>
      </c>
      <c r="E17">
        <v>-2.0495593715040172E-2</v>
      </c>
    </row>
    <row r="18" spans="1:18" x14ac:dyDescent="0.25">
      <c r="A18" s="26">
        <v>18384</v>
      </c>
      <c r="B18" s="5">
        <v>125</v>
      </c>
      <c r="C18" s="19">
        <f t="shared" si="0"/>
        <v>4.8283137373023015</v>
      </c>
      <c r="D18" s="19">
        <v>-7.6961041136128117E-2</v>
      </c>
      <c r="E18">
        <v>-1.2939182371197511E-2</v>
      </c>
    </row>
    <row r="19" spans="1:18" ht="15.75" thickBot="1" x14ac:dyDescent="0.3">
      <c r="A19" s="26">
        <v>18415</v>
      </c>
      <c r="B19" s="5">
        <v>149</v>
      </c>
      <c r="C19" s="19">
        <f t="shared" si="0"/>
        <v>5.0039463059454592</v>
      </c>
      <c r="D19" s="19">
        <v>0.17563256864315768</v>
      </c>
      <c r="E19">
        <v>6.6148335801469393E-2</v>
      </c>
    </row>
    <row r="20" spans="1:18" ht="15.75" thickBot="1" x14ac:dyDescent="0.3">
      <c r="A20" s="26">
        <v>18445</v>
      </c>
      <c r="B20" s="5">
        <v>170</v>
      </c>
      <c r="C20" s="19">
        <f t="shared" si="0"/>
        <v>5.1357984370502621</v>
      </c>
      <c r="D20" s="19">
        <v>0.13185213110480287</v>
      </c>
      <c r="E20">
        <v>3.9914635779117802E-2</v>
      </c>
      <c r="G20" s="2" t="s">
        <v>0</v>
      </c>
      <c r="H20" s="3"/>
      <c r="I20" s="3"/>
      <c r="K20" s="2" t="s">
        <v>10</v>
      </c>
      <c r="L20" s="3"/>
      <c r="M20" s="11"/>
      <c r="N20" s="10">
        <f>0.05</f>
        <v>0.05</v>
      </c>
      <c r="P20" s="14" t="s">
        <v>14</v>
      </c>
      <c r="Q20" s="14" t="s">
        <v>15</v>
      </c>
      <c r="R20" s="14" t="s">
        <v>13</v>
      </c>
    </row>
    <row r="21" spans="1:18" x14ac:dyDescent="0.25">
      <c r="A21" s="26">
        <v>18476</v>
      </c>
      <c r="B21" s="5">
        <v>170</v>
      </c>
      <c r="C21" s="19">
        <f t="shared" si="0"/>
        <v>5.1357984370502621</v>
      </c>
      <c r="D21" s="19">
        <v>0</v>
      </c>
      <c r="E21">
        <v>0</v>
      </c>
      <c r="K21" s="9" t="s">
        <v>11</v>
      </c>
      <c r="L21" s="9" t="s">
        <v>12</v>
      </c>
      <c r="M21" s="9" t="s">
        <v>13</v>
      </c>
      <c r="P21" s="4" t="s">
        <v>16</v>
      </c>
      <c r="Q21" s="13">
        <f>_xll.WNTest(Analysis!$B$2:$B$145, 1)</f>
        <v>2.8177306221783194E-91</v>
      </c>
      <c r="R21" s="12" t="b">
        <f>IF($Q21 &gt; $N$20, TRUE, FALSE)</f>
        <v>0</v>
      </c>
    </row>
    <row r="22" spans="1:18" x14ac:dyDescent="0.25">
      <c r="A22" s="26">
        <v>18507</v>
      </c>
      <c r="B22" s="5">
        <v>158</v>
      </c>
      <c r="C22" s="19">
        <f t="shared" si="0"/>
        <v>5.0625950330269669</v>
      </c>
      <c r="D22" s="19">
        <v>-7.3203404023295171E-2</v>
      </c>
      <c r="E22">
        <v>1.135398400476717E-2</v>
      </c>
      <c r="H22" s="4" t="s">
        <v>1</v>
      </c>
      <c r="I22" s="15">
        <f>AVERAGE(_xll.RMNA(Analysis!$B$2:$B$145))</f>
        <v>280.29861111111109</v>
      </c>
      <c r="K22" s="12">
        <v>0</v>
      </c>
      <c r="L22" s="13">
        <f>_xll.TEST_MEAN(Analysis!$B$2:$B$145,$K22)</f>
        <v>2.8042197592377491E-60</v>
      </c>
      <c r="M22" s="12" t="b">
        <f>IF($L22 &gt; $N$20/2, FALSE, TRUE)</f>
        <v>1</v>
      </c>
      <c r="P22" s="4" t="s">
        <v>17</v>
      </c>
      <c r="Q22" s="13">
        <f>_xll.NormalityTest(Analysis!$B$2:$B$145, 1)</f>
        <v>1.1547774546404217E-2</v>
      </c>
      <c r="R22" s="12" t="b">
        <f>IF($Q22 &gt; $N$20, TRUE, FALSE)</f>
        <v>0</v>
      </c>
    </row>
    <row r="23" spans="1:18" x14ac:dyDescent="0.25">
      <c r="A23" s="26">
        <v>18537</v>
      </c>
      <c r="B23" s="5">
        <v>133</v>
      </c>
      <c r="C23" s="19">
        <f t="shared" si="0"/>
        <v>4.8903491282217537</v>
      </c>
      <c r="D23" s="19">
        <v>-0.17224590480521318</v>
      </c>
      <c r="E23">
        <v>-3.8714512180690441E-2</v>
      </c>
      <c r="H23" s="4" t="s">
        <v>2</v>
      </c>
      <c r="I23" s="15">
        <f>STDEV(_xll.RMNA(Analysis!$B$2:$B$145))</f>
        <v>119.96631694294319</v>
      </c>
      <c r="K23" s="12"/>
      <c r="L23" s="13"/>
      <c r="M23" s="12"/>
      <c r="P23" s="4" t="s">
        <v>18</v>
      </c>
      <c r="Q23" s="13">
        <f>_xll.ARCHTest(Analysis!$B$2:$B$145,1)</f>
        <v>1.7584201848035448E-77</v>
      </c>
      <c r="R23" s="12" t="b">
        <f>IF($Q23 &lt; $N$20, TRUE, FALSE)</f>
        <v>1</v>
      </c>
    </row>
    <row r="24" spans="1:18" x14ac:dyDescent="0.25">
      <c r="A24" s="26">
        <v>18568</v>
      </c>
      <c r="B24" s="5">
        <v>114</v>
      </c>
      <c r="C24" s="19">
        <f t="shared" si="0"/>
        <v>4.7361984483944957</v>
      </c>
      <c r="D24" s="19">
        <v>-0.15415067982725805</v>
      </c>
      <c r="E24">
        <v>-1.941808585710092E-2</v>
      </c>
      <c r="H24" s="4" t="s">
        <v>3</v>
      </c>
      <c r="I24" s="8">
        <f>SKEW(_xll.RMNA(Analysis!$B$2:$B$145))</f>
        <v>0.58316048615608951</v>
      </c>
      <c r="K24" s="12">
        <v>0</v>
      </c>
      <c r="L24" s="13">
        <f>_xll.TEST_SKEW(Analysis!$B$2:$B$145)</f>
        <v>2.3489830152289325E-3</v>
      </c>
      <c r="M24" s="12" t="b">
        <f>IF($L24 &gt; $N$20/2, FALSE, TRUE)</f>
        <v>1</v>
      </c>
    </row>
    <row r="25" spans="1:18" x14ac:dyDescent="0.25">
      <c r="A25" s="26">
        <v>18598</v>
      </c>
      <c r="B25" s="5">
        <v>140</v>
      </c>
      <c r="C25" s="19">
        <f t="shared" si="0"/>
        <v>4.9416424226093039</v>
      </c>
      <c r="D25" s="19">
        <v>0.2054439742148082</v>
      </c>
      <c r="E25">
        <v>7.9150248890515584E-2</v>
      </c>
      <c r="H25" s="4" t="s">
        <v>4</v>
      </c>
      <c r="I25" s="8">
        <f>KURT(_xll.RMNA(Analysis!$B$2:$B$145))</f>
        <v>-0.36494186214549806</v>
      </c>
      <c r="K25" s="12">
        <v>0</v>
      </c>
      <c r="L25" s="13">
        <f>_xll.TEST_XKURT(Analysis!$B$2:$B$145)</f>
        <v>0.16738740821730158</v>
      </c>
      <c r="M25" s="12" t="b">
        <f>IF($L25 &gt; $N$20/2, FALSE, TRUE)</f>
        <v>0</v>
      </c>
    </row>
    <row r="26" spans="1:18" x14ac:dyDescent="0.25">
      <c r="A26" s="26">
        <v>18629</v>
      </c>
      <c r="B26" s="5">
        <v>145</v>
      </c>
      <c r="C26" s="19">
        <f t="shared" si="0"/>
        <v>4.9767337424205742</v>
      </c>
      <c r="D26" s="19">
        <v>3.5091319811270338E-2</v>
      </c>
      <c r="E26">
        <v>6.0843815913685262E-2</v>
      </c>
      <c r="H26" s="4"/>
      <c r="I26" s="7"/>
    </row>
    <row r="27" spans="1:18" x14ac:dyDescent="0.25">
      <c r="A27" s="26">
        <v>18660</v>
      </c>
      <c r="B27" s="5">
        <v>150</v>
      </c>
      <c r="C27" s="19">
        <f t="shared" si="0"/>
        <v>5.0106352940962555</v>
      </c>
      <c r="D27" s="19">
        <v>3.3901551675681318E-2</v>
      </c>
      <c r="E27">
        <v>-5.7448226912546474E-2</v>
      </c>
      <c r="H27" s="4" t="s">
        <v>5</v>
      </c>
      <c r="I27" s="7">
        <f>MEDIAN(_xll.RMNA(Analysis!$B$2:$B$145))</f>
        <v>265.5</v>
      </c>
    </row>
    <row r="28" spans="1:18" x14ac:dyDescent="0.25">
      <c r="A28" s="26">
        <v>18688</v>
      </c>
      <c r="B28" s="5">
        <v>178</v>
      </c>
      <c r="C28" s="19">
        <f t="shared" si="0"/>
        <v>5.181783550292085</v>
      </c>
      <c r="D28" s="19">
        <v>0.17114825619582952</v>
      </c>
      <c r="E28">
        <v>5.8670272769139054E-2</v>
      </c>
      <c r="H28" s="4" t="s">
        <v>6</v>
      </c>
      <c r="I28" s="7">
        <f>MIN(_xll.RMNA(Analysis!$B$2:$B$145))</f>
        <v>104</v>
      </c>
    </row>
    <row r="29" spans="1:18" x14ac:dyDescent="0.25">
      <c r="A29" s="26">
        <v>18719</v>
      </c>
      <c r="B29" s="5">
        <v>163</v>
      </c>
      <c r="C29" s="19">
        <f t="shared" si="0"/>
        <v>5.0937502008067623</v>
      </c>
      <c r="D29" s="19">
        <v>-8.8033349485322709E-2</v>
      </c>
      <c r="E29">
        <v>-4.4548237545583902E-2</v>
      </c>
      <c r="H29" s="4" t="s">
        <v>7</v>
      </c>
      <c r="I29" s="7">
        <f>MAX(_xll.RMNA(Analysis!$B$2:$B$145))</f>
        <v>622</v>
      </c>
    </row>
    <row r="30" spans="1:18" x14ac:dyDescent="0.25">
      <c r="A30" s="26">
        <v>18749</v>
      </c>
      <c r="B30" s="5">
        <v>172</v>
      </c>
      <c r="C30" s="19">
        <f t="shared" si="0"/>
        <v>5.1474944768134527</v>
      </c>
      <c r="D30" s="19">
        <v>5.3744276006690406E-2</v>
      </c>
      <c r="E30">
        <v>0.13070531714281852</v>
      </c>
      <c r="H30" s="4" t="s">
        <v>8</v>
      </c>
      <c r="I30" s="7">
        <f>QUARTILE(_xll.RMNA(Analysis!$B$2:$B$145),1)</f>
        <v>180</v>
      </c>
    </row>
    <row r="31" spans="1:18" x14ac:dyDescent="0.25">
      <c r="A31" s="26">
        <v>18780</v>
      </c>
      <c r="B31" s="5">
        <v>178</v>
      </c>
      <c r="C31" s="19">
        <f t="shared" si="0"/>
        <v>5.181783550292085</v>
      </c>
      <c r="D31" s="19">
        <v>3.4289073478632304E-2</v>
      </c>
      <c r="E31">
        <v>-0.14134349516452538</v>
      </c>
      <c r="H31" s="4" t="s">
        <v>9</v>
      </c>
      <c r="I31" s="7">
        <f>QUARTILE(_xll.RMNA(Analysis!$B$2:$B$145),3)</f>
        <v>360.5</v>
      </c>
    </row>
    <row r="32" spans="1:18" x14ac:dyDescent="0.25">
      <c r="A32" s="26">
        <v>18810</v>
      </c>
      <c r="B32" s="5">
        <v>199</v>
      </c>
      <c r="C32" s="19">
        <f t="shared" si="0"/>
        <v>5.2933048247244923</v>
      </c>
      <c r="D32" s="19">
        <v>0.11152127443240722</v>
      </c>
      <c r="E32">
        <v>-2.0330856672395647E-2</v>
      </c>
    </row>
    <row r="33" spans="1:5" x14ac:dyDescent="0.25">
      <c r="A33" s="26">
        <v>18841</v>
      </c>
      <c r="B33" s="5">
        <v>199</v>
      </c>
      <c r="C33" s="19">
        <f t="shared" si="0"/>
        <v>5.2933048247244923</v>
      </c>
      <c r="D33" s="19">
        <v>0</v>
      </c>
      <c r="E33">
        <v>0</v>
      </c>
    </row>
    <row r="34" spans="1:5" x14ac:dyDescent="0.25">
      <c r="A34" s="26">
        <v>18872</v>
      </c>
      <c r="B34" s="5">
        <v>184</v>
      </c>
      <c r="C34" s="19">
        <f t="shared" si="0"/>
        <v>5.2149357576089859</v>
      </c>
      <c r="D34" s="19">
        <v>-7.8369067115506397E-2</v>
      </c>
      <c r="E34">
        <v>-5.1656630922112257E-3</v>
      </c>
    </row>
    <row r="35" spans="1:5" x14ac:dyDescent="0.25">
      <c r="A35" s="26">
        <v>18902</v>
      </c>
      <c r="B35" s="5">
        <v>162</v>
      </c>
      <c r="C35" s="19">
        <f t="shared" si="0"/>
        <v>5.0875963352323836</v>
      </c>
      <c r="D35" s="19">
        <v>-0.12733942237660223</v>
      </c>
      <c r="E35">
        <v>4.490648242861095E-2</v>
      </c>
    </row>
    <row r="36" spans="1:5" x14ac:dyDescent="0.25">
      <c r="A36" s="26">
        <v>18933</v>
      </c>
      <c r="B36" s="5">
        <v>146</v>
      </c>
      <c r="C36" s="19">
        <f t="shared" si="0"/>
        <v>4.9836066217083363</v>
      </c>
      <c r="D36" s="19">
        <v>-0.10398971352404729</v>
      </c>
      <c r="E36">
        <v>5.0160966303210763E-2</v>
      </c>
    </row>
    <row r="37" spans="1:5" x14ac:dyDescent="0.25">
      <c r="A37" s="26">
        <v>18963</v>
      </c>
      <c r="B37" s="5">
        <v>166</v>
      </c>
      <c r="C37" s="19">
        <f t="shared" si="0"/>
        <v>5.1119877883565437</v>
      </c>
      <c r="D37" s="19">
        <v>0.12838116664820731</v>
      </c>
      <c r="E37">
        <v>-7.7062807566600888E-2</v>
      </c>
    </row>
    <row r="38" spans="1:5" x14ac:dyDescent="0.25">
      <c r="A38" s="26">
        <v>18994</v>
      </c>
      <c r="B38" s="5">
        <v>171</v>
      </c>
      <c r="C38" s="19">
        <f t="shared" si="0"/>
        <v>5.1416635565026603</v>
      </c>
      <c r="D38" s="19">
        <v>2.967576814611661E-2</v>
      </c>
      <c r="E38">
        <v>-5.4155516651537283E-3</v>
      </c>
    </row>
    <row r="39" spans="1:5" x14ac:dyDescent="0.25">
      <c r="A39" s="26">
        <v>19025</v>
      </c>
      <c r="B39" s="5">
        <v>180</v>
      </c>
      <c r="C39" s="19">
        <f t="shared" si="0"/>
        <v>5.1929568508902104</v>
      </c>
      <c r="D39" s="19">
        <v>5.1293294387550148E-2</v>
      </c>
      <c r="E39">
        <v>1.7391742711868829E-2</v>
      </c>
    </row>
    <row r="40" spans="1:5" x14ac:dyDescent="0.25">
      <c r="A40" s="26">
        <v>19054</v>
      </c>
      <c r="B40" s="5">
        <v>193</v>
      </c>
      <c r="C40" s="19">
        <f t="shared" si="0"/>
        <v>5.2626901889048856</v>
      </c>
      <c r="D40" s="19">
        <v>6.9733338014675184E-2</v>
      </c>
      <c r="E40">
        <v>-0.10141491818115433</v>
      </c>
    </row>
    <row r="41" spans="1:5" x14ac:dyDescent="0.25">
      <c r="A41" s="26">
        <v>19085</v>
      </c>
      <c r="B41" s="5">
        <v>181</v>
      </c>
      <c r="C41" s="19">
        <f t="shared" si="0"/>
        <v>5.1984970312658261</v>
      </c>
      <c r="D41" s="19">
        <v>-6.4193157639059528E-2</v>
      </c>
      <c r="E41">
        <v>2.3840191846263181E-2</v>
      </c>
    </row>
    <row r="42" spans="1:5" x14ac:dyDescent="0.25">
      <c r="A42" s="26">
        <v>19115</v>
      </c>
      <c r="B42" s="5">
        <v>183</v>
      </c>
      <c r="C42" s="19">
        <f t="shared" si="0"/>
        <v>5.2094861528414214</v>
      </c>
      <c r="D42" s="19">
        <v>1.0989121575595284E-2</v>
      </c>
      <c r="E42">
        <v>-4.2755154431095121E-2</v>
      </c>
    </row>
    <row r="43" spans="1:5" x14ac:dyDescent="0.25">
      <c r="A43" s="26">
        <v>19146</v>
      </c>
      <c r="B43" s="5">
        <v>218</v>
      </c>
      <c r="C43" s="19">
        <f t="shared" si="0"/>
        <v>5.3844950627890888</v>
      </c>
      <c r="D43" s="19">
        <v>0.17500890994766749</v>
      </c>
      <c r="E43">
        <v>0.14071983646903519</v>
      </c>
    </row>
    <row r="44" spans="1:5" x14ac:dyDescent="0.25">
      <c r="A44" s="26">
        <v>19176</v>
      </c>
      <c r="B44" s="5">
        <v>230</v>
      </c>
      <c r="C44" s="19">
        <f t="shared" si="0"/>
        <v>5.4380793089231956</v>
      </c>
      <c r="D44" s="19">
        <v>5.3584246134106728E-2</v>
      </c>
      <c r="E44">
        <v>-5.7937028298300497E-2</v>
      </c>
    </row>
    <row r="45" spans="1:5" x14ac:dyDescent="0.25">
      <c r="A45" s="26">
        <v>19207</v>
      </c>
      <c r="B45" s="5">
        <v>242</v>
      </c>
      <c r="C45" s="19">
        <f t="shared" si="0"/>
        <v>5.4889377261566867</v>
      </c>
      <c r="D45" s="19">
        <v>5.085841723349116E-2</v>
      </c>
      <c r="E45">
        <v>5.085841723349116E-2</v>
      </c>
    </row>
    <row r="46" spans="1:5" x14ac:dyDescent="0.25">
      <c r="A46" s="26">
        <v>19238</v>
      </c>
      <c r="B46" s="5">
        <v>209</v>
      </c>
      <c r="C46" s="19">
        <f t="shared" si="0"/>
        <v>5.3423342519648109</v>
      </c>
      <c r="D46" s="19">
        <v>-0.1466034741918758</v>
      </c>
      <c r="E46">
        <v>-6.8234407076369408E-2</v>
      </c>
    </row>
    <row r="47" spans="1:5" x14ac:dyDescent="0.25">
      <c r="A47" s="26">
        <v>19268</v>
      </c>
      <c r="B47" s="5">
        <v>191</v>
      </c>
      <c r="C47" s="19">
        <f t="shared" si="0"/>
        <v>5.2522734280466299</v>
      </c>
      <c r="D47" s="19">
        <v>-9.0060823918181043E-2</v>
      </c>
      <c r="E47">
        <v>3.7278598458421186E-2</v>
      </c>
    </row>
    <row r="48" spans="1:5" x14ac:dyDescent="0.25">
      <c r="A48" s="26">
        <v>19299</v>
      </c>
      <c r="B48" s="5">
        <v>172</v>
      </c>
      <c r="C48" s="19">
        <f t="shared" si="0"/>
        <v>5.1474944768134527</v>
      </c>
      <c r="D48" s="19">
        <v>-0.10477895123317715</v>
      </c>
      <c r="E48">
        <v>-7.8923770912986413E-4</v>
      </c>
    </row>
    <row r="49" spans="1:18" x14ac:dyDescent="0.25">
      <c r="A49" s="26">
        <v>19329</v>
      </c>
      <c r="B49" s="5">
        <v>194</v>
      </c>
      <c r="C49" s="19">
        <f t="shared" si="0"/>
        <v>5.2678581590633282</v>
      </c>
      <c r="D49" s="19">
        <v>0.12036368224987548</v>
      </c>
      <c r="E49">
        <v>-8.0174843983318311E-3</v>
      </c>
    </row>
    <row r="50" spans="1:18" x14ac:dyDescent="0.25">
      <c r="A50" s="26">
        <v>19360</v>
      </c>
      <c r="B50" s="5">
        <v>196</v>
      </c>
      <c r="C50" s="19">
        <f t="shared" si="0"/>
        <v>5.2781146592305168</v>
      </c>
      <c r="D50" s="19">
        <v>1.0256500167188598E-2</v>
      </c>
      <c r="E50">
        <v>-1.9419267978928012E-2</v>
      </c>
    </row>
    <row r="51" spans="1:18" ht="15.75" thickBot="1" x14ac:dyDescent="0.3">
      <c r="A51" s="26">
        <v>19391</v>
      </c>
      <c r="B51" s="5">
        <v>196</v>
      </c>
      <c r="C51" s="19">
        <f t="shared" si="0"/>
        <v>5.2781146592305168</v>
      </c>
      <c r="D51" s="19">
        <v>0</v>
      </c>
      <c r="E51">
        <v>-5.1293294387550148E-2</v>
      </c>
    </row>
    <row r="52" spans="1:18" ht="15.75" thickBot="1" x14ac:dyDescent="0.3">
      <c r="A52" s="26">
        <v>19419</v>
      </c>
      <c r="B52" s="5">
        <v>236</v>
      </c>
      <c r="C52" s="19">
        <f t="shared" si="0"/>
        <v>5.4638318050256105</v>
      </c>
      <c r="D52" s="19">
        <v>0.18571714579509369</v>
      </c>
      <c r="E52">
        <v>0.1159838077804185</v>
      </c>
      <c r="G52" s="2" t="s">
        <v>0</v>
      </c>
      <c r="H52" s="3"/>
      <c r="I52" s="3"/>
      <c r="K52" s="2" t="s">
        <v>10</v>
      </c>
      <c r="L52" s="3"/>
      <c r="M52" s="11"/>
      <c r="N52" s="10">
        <f>0.05</f>
        <v>0.05</v>
      </c>
      <c r="P52" s="14" t="s">
        <v>14</v>
      </c>
      <c r="Q52" s="14" t="s">
        <v>15</v>
      </c>
      <c r="R52" s="14" t="s">
        <v>13</v>
      </c>
    </row>
    <row r="53" spans="1:18" x14ac:dyDescent="0.25">
      <c r="A53" s="26">
        <v>19450</v>
      </c>
      <c r="B53" s="5">
        <v>235</v>
      </c>
      <c r="C53" s="19">
        <f t="shared" si="0"/>
        <v>5.4595855141441589</v>
      </c>
      <c r="D53" s="19">
        <v>-4.2462908814515643E-3</v>
      </c>
      <c r="E53">
        <v>5.9946866757607964E-2</v>
      </c>
      <c r="K53" s="9" t="s">
        <v>11</v>
      </c>
      <c r="L53" s="9" t="s">
        <v>12</v>
      </c>
      <c r="M53" s="9" t="s">
        <v>13</v>
      </c>
      <c r="P53" s="4" t="s">
        <v>16</v>
      </c>
      <c r="Q53" s="13">
        <f>_xll.WNTest(Analysis!$C$2:$C$145, 1)</f>
        <v>3.9582898733531729E-98</v>
      </c>
      <c r="R53" s="12" t="b">
        <f>IF($Q53 &gt; $N$52, TRUE, FALSE)</f>
        <v>0</v>
      </c>
    </row>
    <row r="54" spans="1:18" x14ac:dyDescent="0.25">
      <c r="A54" s="26">
        <v>19480</v>
      </c>
      <c r="B54" s="5">
        <v>229</v>
      </c>
      <c r="C54" s="19">
        <f t="shared" si="0"/>
        <v>5.43372200355424</v>
      </c>
      <c r="D54" s="19">
        <v>-2.5863510589918981E-2</v>
      </c>
      <c r="E54">
        <v>-3.6852632165514265E-2</v>
      </c>
      <c r="H54" s="4" t="s">
        <v>1</v>
      </c>
      <c r="I54" s="8">
        <f>AVERAGE(_xll.RMNA(Analysis!$C$2:$C$145))</f>
        <v>5.5421759585318693</v>
      </c>
      <c r="K54" s="12">
        <v>0</v>
      </c>
      <c r="L54" s="13">
        <f>_xll.TEST_MEAN(Analysis!$C$2:$C$145,$K54)</f>
        <v>9.6622316999023037E-160</v>
      </c>
      <c r="M54" s="12" t="b">
        <f>IF($L54 &gt; $N$52/2, FALSE, TRUE)</f>
        <v>1</v>
      </c>
      <c r="P54" s="4" t="s">
        <v>17</v>
      </c>
      <c r="Q54" s="13">
        <f>_xll.NormalityTest(Analysis!$C$2:$C$145, 1)</f>
        <v>4.9294328555377742E-2</v>
      </c>
      <c r="R54" s="12" t="b">
        <f>IF($Q54 &gt; $N$52, TRUE, FALSE)</f>
        <v>0</v>
      </c>
    </row>
    <row r="55" spans="1:18" x14ac:dyDescent="0.25">
      <c r="A55" s="26">
        <v>19511</v>
      </c>
      <c r="B55" s="5">
        <v>243</v>
      </c>
      <c r="C55" s="19">
        <f t="shared" si="0"/>
        <v>5.4930614433405482</v>
      </c>
      <c r="D55" s="19">
        <v>5.933943978630829E-2</v>
      </c>
      <c r="E55">
        <v>-0.1156694701613592</v>
      </c>
      <c r="H55" s="4" t="s">
        <v>2</v>
      </c>
      <c r="I55" s="8">
        <f>STDEV(_xll.RMNA(Analysis!$C$2:$C$145))</f>
        <v>0.44145642421954601</v>
      </c>
      <c r="K55" s="12"/>
      <c r="L55" s="13"/>
      <c r="M55" s="12"/>
      <c r="P55" s="4" t="s">
        <v>18</v>
      </c>
      <c r="Q55" s="13">
        <f>_xll.ARCHTest(Analysis!$C$2:$C$145,1)</f>
        <v>1.3237060420674716E-97</v>
      </c>
      <c r="R55" s="12" t="b">
        <f>IF($Q55 &lt; $N$52, TRUE, FALSE)</f>
        <v>1</v>
      </c>
    </row>
    <row r="56" spans="1:18" x14ac:dyDescent="0.25">
      <c r="A56" s="26">
        <v>19541</v>
      </c>
      <c r="B56" s="5">
        <v>264</v>
      </c>
      <c r="C56" s="19">
        <f t="shared" si="0"/>
        <v>5.575949103146316</v>
      </c>
      <c r="D56" s="19">
        <v>8.2887659805767733E-2</v>
      </c>
      <c r="E56">
        <v>2.9303413671661005E-2</v>
      </c>
      <c r="H56" s="4" t="s">
        <v>3</v>
      </c>
      <c r="I56" s="8">
        <f>SKEW(_xll.RMNA(Analysis!$C$2:$C$145))</f>
        <v>-0.12200106485973732</v>
      </c>
      <c r="K56" s="12">
        <v>0</v>
      </c>
      <c r="L56" s="13">
        <f>_xll.TEST_SKEW(Analysis!$C$2:$C$145)</f>
        <v>0.2771139045447773</v>
      </c>
      <c r="M56" s="12" t="b">
        <f>IF($L56 &gt; $N$52/2, FALSE, TRUE)</f>
        <v>0</v>
      </c>
    </row>
    <row r="57" spans="1:18" x14ac:dyDescent="0.25">
      <c r="A57" s="26">
        <v>19572</v>
      </c>
      <c r="B57" s="5">
        <v>272</v>
      </c>
      <c r="C57" s="19">
        <f t="shared" si="0"/>
        <v>5.6058020662959978</v>
      </c>
      <c r="D57" s="19">
        <v>2.9852963149681777E-2</v>
      </c>
      <c r="E57">
        <v>-2.1005454083809383E-2</v>
      </c>
      <c r="H57" s="4" t="s">
        <v>4</v>
      </c>
      <c r="I57" s="8">
        <f>KURT(_xll.RMNA(Analysis!$C$2:$C$145))</f>
        <v>-0.96388436116116161</v>
      </c>
      <c r="K57" s="12">
        <v>0</v>
      </c>
      <c r="L57" s="13">
        <f>_xll.TEST_XKURT(Analysis!$C$2:$C$145)</f>
        <v>8.6282605943712818E-3</v>
      </c>
      <c r="M57" s="12" t="b">
        <f>IF($L57 &gt; $N$52/2, FALSE, TRUE)</f>
        <v>1</v>
      </c>
    </row>
    <row r="58" spans="1:18" x14ac:dyDescent="0.25">
      <c r="A58" s="26">
        <v>19603</v>
      </c>
      <c r="B58" s="5">
        <v>237</v>
      </c>
      <c r="C58" s="19">
        <f t="shared" si="0"/>
        <v>5.4680601411351315</v>
      </c>
      <c r="D58" s="19">
        <v>-0.13774192516086625</v>
      </c>
      <c r="E58">
        <v>8.8615490310095524E-3</v>
      </c>
      <c r="H58" s="4"/>
      <c r="I58" s="8"/>
    </row>
    <row r="59" spans="1:18" x14ac:dyDescent="0.25">
      <c r="A59" s="26">
        <v>19633</v>
      </c>
      <c r="B59" s="5">
        <v>211</v>
      </c>
      <c r="C59" s="19">
        <f t="shared" si="0"/>
        <v>5.3518581334760666</v>
      </c>
      <c r="D59" s="19">
        <v>-0.11620200765906485</v>
      </c>
      <c r="E59">
        <v>-2.6141183740883811E-2</v>
      </c>
      <c r="H59" s="4" t="s">
        <v>5</v>
      </c>
      <c r="I59" s="8">
        <f>MEDIAN(_xll.RMNA(Analysis!$C$2:$C$145))</f>
        <v>5.5815988807732833</v>
      </c>
    </row>
    <row r="60" spans="1:18" x14ac:dyDescent="0.25">
      <c r="A60" s="26">
        <v>19664</v>
      </c>
      <c r="B60" s="5">
        <v>180</v>
      </c>
      <c r="C60" s="19">
        <f t="shared" si="0"/>
        <v>5.1929568508902104</v>
      </c>
      <c r="D60" s="19">
        <v>-0.15890128258585623</v>
      </c>
      <c r="E60">
        <v>-5.4122331352679076E-2</v>
      </c>
      <c r="H60" s="4" t="s">
        <v>6</v>
      </c>
      <c r="I60" s="8">
        <f>MIN(_xll.RMNA(Analysis!$C$2:$C$145))</f>
        <v>4.6443908991413725</v>
      </c>
    </row>
    <row r="61" spans="1:18" x14ac:dyDescent="0.25">
      <c r="A61" s="26">
        <v>19694</v>
      </c>
      <c r="B61" s="5">
        <v>201</v>
      </c>
      <c r="C61" s="19">
        <f t="shared" si="0"/>
        <v>5.3033049080590757</v>
      </c>
      <c r="D61" s="19">
        <v>0.11034805716886531</v>
      </c>
      <c r="E61">
        <v>-1.0015625081010171E-2</v>
      </c>
      <c r="H61" s="4" t="s">
        <v>7</v>
      </c>
      <c r="I61" s="8">
        <f>MAX(_xll.RMNA(Analysis!$C$2:$C$145))</f>
        <v>6.4329400927391793</v>
      </c>
    </row>
    <row r="62" spans="1:18" x14ac:dyDescent="0.25">
      <c r="A62" s="26">
        <v>19725</v>
      </c>
      <c r="B62" s="5">
        <v>204</v>
      </c>
      <c r="C62" s="19">
        <f t="shared" si="0"/>
        <v>5.3181199938442161</v>
      </c>
      <c r="D62" s="19">
        <v>1.4815085785140347E-2</v>
      </c>
      <c r="E62">
        <v>4.5585856179517492E-3</v>
      </c>
      <c r="H62" s="4" t="s">
        <v>8</v>
      </c>
      <c r="I62" s="8">
        <f>QUARTILE(_xll.RMNA(Analysis!$C$2:$C$145),1)</f>
        <v>5.1929568508902104</v>
      </c>
    </row>
    <row r="63" spans="1:18" x14ac:dyDescent="0.25">
      <c r="A63" s="26">
        <v>19756</v>
      </c>
      <c r="B63" s="5">
        <v>188</v>
      </c>
      <c r="C63" s="19">
        <f t="shared" si="0"/>
        <v>5.2364419628299492</v>
      </c>
      <c r="D63" s="19">
        <v>-8.167803101426685E-2</v>
      </c>
      <c r="E63">
        <v>-8.167803101426685E-2</v>
      </c>
      <c r="H63" s="4" t="s">
        <v>9</v>
      </c>
      <c r="I63" s="8">
        <f>QUARTILE(_xll.RMNA(Analysis!$C$2:$C$145),3)</f>
        <v>5.8874890765440595</v>
      </c>
    </row>
    <row r="64" spans="1:18" x14ac:dyDescent="0.25">
      <c r="A64" s="26">
        <v>19784</v>
      </c>
      <c r="B64" s="5">
        <v>235</v>
      </c>
      <c r="C64" s="19">
        <f t="shared" si="0"/>
        <v>5.4595855141441589</v>
      </c>
      <c r="D64" s="19">
        <v>0.22314355131420971</v>
      </c>
      <c r="E64">
        <v>3.7426405519116024E-2</v>
      </c>
    </row>
    <row r="65" spans="1:13" ht="15.75" thickBot="1" x14ac:dyDescent="0.3">
      <c r="A65" s="26">
        <v>19815</v>
      </c>
      <c r="B65" s="5">
        <v>227</v>
      </c>
      <c r="C65" s="19">
        <f t="shared" si="0"/>
        <v>5.4249500174814029</v>
      </c>
      <c r="D65" s="19">
        <v>-3.4635496662756005E-2</v>
      </c>
      <c r="E65">
        <v>-3.038920578130444E-2</v>
      </c>
      <c r="G65" s="1" t="s">
        <v>19</v>
      </c>
    </row>
    <row r="66" spans="1:13" ht="15.75" thickBot="1" x14ac:dyDescent="0.3">
      <c r="A66" s="26">
        <v>19845</v>
      </c>
      <c r="B66" s="5">
        <v>234</v>
      </c>
      <c r="C66" s="19">
        <f t="shared" si="0"/>
        <v>5.4553211153577017</v>
      </c>
      <c r="D66" s="19">
        <v>3.0371097876298769E-2</v>
      </c>
      <c r="E66">
        <v>5.623460846621775E-2</v>
      </c>
      <c r="G66" s="14" t="s">
        <v>20</v>
      </c>
      <c r="H66" s="14" t="s">
        <v>21</v>
      </c>
      <c r="I66" s="14" t="s">
        <v>22</v>
      </c>
      <c r="J66" s="14" t="s">
        <v>23</v>
      </c>
      <c r="K66" s="14" t="s">
        <v>24</v>
      </c>
      <c r="L66" s="14" t="s">
        <v>22</v>
      </c>
      <c r="M66" s="14" t="s">
        <v>23</v>
      </c>
    </row>
    <row r="67" spans="1:13" x14ac:dyDescent="0.25">
      <c r="A67" s="26">
        <v>19876</v>
      </c>
      <c r="B67" s="5">
        <v>264</v>
      </c>
      <c r="C67" s="19">
        <f t="shared" ref="C67:C130" si="1">LN(B67)</f>
        <v>5.575949103146316</v>
      </c>
      <c r="D67" s="19">
        <v>0.12062798778861428</v>
      </c>
      <c r="E67">
        <v>6.1288548002305987E-2</v>
      </c>
      <c r="G67" s="9">
        <v>1</v>
      </c>
      <c r="H67" s="16">
        <f>_xll.ACF(Analysis!$C$2:$C$145,1,$G67)</f>
        <v>0.95370336924314891</v>
      </c>
      <c r="I67" s="16">
        <f>_xll.ACFCI(Analysis!$C$2:$C$145,1,$G67,0.05,1)</f>
        <v>0.16333033204500447</v>
      </c>
      <c r="J67" s="16">
        <f>_xll.ACFCI(Analysis!$C$2:$C$145,1,$G67,0.05,0)</f>
        <v>-0.16333033204500447</v>
      </c>
      <c r="K67" s="16">
        <f>_xll.PACF(Analysis!$C$2:$C$145,1,$G67)</f>
        <v>0.96345329090013609</v>
      </c>
      <c r="L67" s="16">
        <f>_xll.PACFCI(Analysis!$C$2:$C$145,1,$G67,0.05,1)</f>
        <v>0.16333033204500447</v>
      </c>
      <c r="M67" s="16">
        <f>_xll.PACFCI(Analysis!$C$2:$C$145,1,$G67,0.05,0)</f>
        <v>-0.16333033204500447</v>
      </c>
    </row>
    <row r="68" spans="1:13" x14ac:dyDescent="0.25">
      <c r="A68" s="26">
        <v>19906</v>
      </c>
      <c r="B68" s="5">
        <v>302</v>
      </c>
      <c r="C68" s="19">
        <f t="shared" si="1"/>
        <v>5.7104270173748697</v>
      </c>
      <c r="D68" s="19">
        <v>0.13447791422855371</v>
      </c>
      <c r="E68">
        <v>5.1590254422785975E-2</v>
      </c>
      <c r="G68" s="9">
        <v>2</v>
      </c>
      <c r="H68" s="16">
        <f>_xll.ACF(Analysis!$C$2:$C$145,1,$G68)</f>
        <v>0.89891594579252387</v>
      </c>
      <c r="I68" s="16">
        <f>_xll.ACFCI(Analysis!$C$2:$C$145,1,$G68,0.05,1)</f>
        <v>0.16333033204500447</v>
      </c>
      <c r="J68" s="16">
        <f>_xll.ACFCI(Analysis!$C$2:$C$145,1,$G68,0.05,0)</f>
        <v>-0.16333033204500447</v>
      </c>
      <c r="K68" s="16">
        <f>_xll.PACF(Analysis!$C$2:$C$145,1,$G68)</f>
        <v>-0.21487080474765444</v>
      </c>
      <c r="L68" s="16">
        <f>_xll.PACFCI(Analysis!$C$2:$C$145,1,$G68,0.05,1)</f>
        <v>0.16333033204500447</v>
      </c>
      <c r="M68" s="16">
        <f>_xll.PACFCI(Analysis!$C$2:$C$145,1,$G68,0.05,0)</f>
        <v>-0.16333033204500447</v>
      </c>
    </row>
    <row r="69" spans="1:13" x14ac:dyDescent="0.25">
      <c r="A69" s="26">
        <v>19937</v>
      </c>
      <c r="B69" s="5">
        <v>293</v>
      </c>
      <c r="C69" s="19">
        <f t="shared" si="1"/>
        <v>5.6801726090170677</v>
      </c>
      <c r="D69" s="19">
        <v>-3.0254408357802021E-2</v>
      </c>
      <c r="E69">
        <v>-6.0107371507483798E-2</v>
      </c>
      <c r="G69" s="9">
        <v>3</v>
      </c>
      <c r="H69" s="16">
        <f>_xll.ACF(Analysis!$C$2:$C$145,1,$G69)</f>
        <v>0.8508024875083261</v>
      </c>
      <c r="I69" s="16">
        <f>_xll.ACFCI(Analysis!$C$2:$C$145,1,$G69,0.05,1)</f>
        <v>0.27423450853292841</v>
      </c>
      <c r="J69" s="16">
        <f>_xll.ACFCI(Analysis!$C$2:$C$145,1,$G69,0.05,0)</f>
        <v>-0.27423450853292841</v>
      </c>
      <c r="K69" s="16">
        <f>_xll.PACF(Analysis!$C$2:$C$145,1,$G69)</f>
        <v>0.15473582370075656</v>
      </c>
      <c r="L69" s="16">
        <f>_xll.PACFCI(Analysis!$C$2:$C$145,1,$G69,0.05,1)</f>
        <v>0.16333033204500447</v>
      </c>
      <c r="M69" s="16">
        <f>_xll.PACFCI(Analysis!$C$2:$C$145,1,$G69,0.05,0)</f>
        <v>-0.16333033204500447</v>
      </c>
    </row>
    <row r="70" spans="1:13" x14ac:dyDescent="0.25">
      <c r="A70" s="26">
        <v>19968</v>
      </c>
      <c r="B70" s="5">
        <v>259</v>
      </c>
      <c r="C70" s="19">
        <f t="shared" si="1"/>
        <v>5.5568280616995374</v>
      </c>
      <c r="D70" s="19">
        <v>-0.12334454731753031</v>
      </c>
      <c r="E70">
        <v>1.4397377843335946E-2</v>
      </c>
      <c r="G70" s="9">
        <v>4</v>
      </c>
      <c r="H70" s="16">
        <f>_xll.ACF(Analysis!$C$2:$C$145,1,$G70)</f>
        <v>0.80842516872015957</v>
      </c>
      <c r="I70" s="16">
        <f>_xll.ACFCI(Analysis!$C$2:$C$145,1,$G70,0.05,1)</f>
        <v>0.34397228284107734</v>
      </c>
      <c r="J70" s="16">
        <f>_xll.ACFCI(Analysis!$C$2:$C$145,1,$G70,0.05,0)</f>
        <v>-0.34397228284107734</v>
      </c>
      <c r="K70" s="16">
        <f>_xll.PACF(Analysis!$C$2:$C$145,1,$G70)</f>
        <v>8.2873451922860608E-2</v>
      </c>
      <c r="L70" s="16">
        <f>_xll.PACFCI(Analysis!$C$2:$C$145,1,$G70,0.05,1)</f>
        <v>0.16333033204500447</v>
      </c>
      <c r="M70" s="16">
        <f>_xll.PACFCI(Analysis!$C$2:$C$145,1,$G70,0.05,0)</f>
        <v>-0.16333033204500447</v>
      </c>
    </row>
    <row r="71" spans="1:13" x14ac:dyDescent="0.25">
      <c r="A71" s="26">
        <v>19998</v>
      </c>
      <c r="B71" s="5">
        <v>229</v>
      </c>
      <c r="C71" s="19">
        <f t="shared" si="1"/>
        <v>5.43372200355424</v>
      </c>
      <c r="D71" s="19">
        <v>-0.1231060581452974</v>
      </c>
      <c r="E71">
        <v>-6.9040504862325491E-3</v>
      </c>
      <c r="G71" s="9">
        <v>5</v>
      </c>
      <c r="H71" s="16">
        <f>_xll.ACF(Analysis!$C$2:$C$145,1,$G71)</f>
        <v>0.77889939059537328</v>
      </c>
      <c r="I71" s="16">
        <f>_xll.ACFCI(Analysis!$C$2:$C$145,1,$G71,0.05,1)</f>
        <v>0.39615366264147545</v>
      </c>
      <c r="J71" s="16">
        <f>_xll.ACFCI(Analysis!$C$2:$C$145,1,$G71,0.05,0)</f>
        <v>-0.39615366264147545</v>
      </c>
      <c r="K71" s="16">
        <f>_xll.PACF(Analysis!$C$2:$C$145,1,$G71)</f>
        <v>0.32183142611528209</v>
      </c>
      <c r="L71" s="16">
        <f>_xll.PACFCI(Analysis!$C$2:$C$145,1,$G71,0.05,1)</f>
        <v>0.16333033204500447</v>
      </c>
      <c r="M71" s="16">
        <f>_xll.PACFCI(Analysis!$C$2:$C$145,1,$G71,0.05,0)</f>
        <v>-0.16333033204500447</v>
      </c>
    </row>
    <row r="72" spans="1:13" x14ac:dyDescent="0.25">
      <c r="A72" s="26">
        <v>20029</v>
      </c>
      <c r="B72" s="5">
        <v>203</v>
      </c>
      <c r="C72" s="19">
        <f t="shared" si="1"/>
        <v>5.3132059790417872</v>
      </c>
      <c r="D72" s="19">
        <v>-0.1205160245124528</v>
      </c>
      <c r="E72">
        <v>3.8385258073403428E-2</v>
      </c>
      <c r="G72" s="9">
        <v>6</v>
      </c>
      <c r="H72" s="16">
        <f>_xll.ACF(Analysis!$C$2:$C$145,1,$G72)</f>
        <v>0.75644222251490778</v>
      </c>
      <c r="I72" s="16">
        <f>_xll.ACFCI(Analysis!$C$2:$C$145,1,$G72,0.05,1)</f>
        <v>0.43795779835018261</v>
      </c>
      <c r="J72" s="16">
        <f>_xll.ACFCI(Analysis!$C$2:$C$145,1,$G72,0.05,0)</f>
        <v>-0.43795779835018261</v>
      </c>
      <c r="K72" s="16">
        <f>_xll.PACF(Analysis!$C$2:$C$145,1,$G72)</f>
        <v>-1.6872181766572791E-2</v>
      </c>
      <c r="L72" s="16">
        <f>_xll.PACFCI(Analysis!$C$2:$C$145,1,$G72,0.05,1)</f>
        <v>0.16333033204500447</v>
      </c>
      <c r="M72" s="16">
        <f>_xll.PACFCI(Analysis!$C$2:$C$145,1,$G72,0.05,0)</f>
        <v>-0.16333033204500447</v>
      </c>
    </row>
    <row r="73" spans="1:13" x14ac:dyDescent="0.25">
      <c r="A73" s="26">
        <v>20059</v>
      </c>
      <c r="B73" s="5">
        <v>229</v>
      </c>
      <c r="C73" s="19">
        <f t="shared" si="1"/>
        <v>5.43372200355424</v>
      </c>
      <c r="D73" s="19">
        <v>0.1205160245124528</v>
      </c>
      <c r="E73">
        <v>1.0167967343587492E-2</v>
      </c>
      <c r="G73" s="9">
        <v>7</v>
      </c>
      <c r="H73" s="16">
        <f>_xll.ACF(Analysis!$C$2:$C$145,1,$G73)</f>
        <v>0.73760171341165703</v>
      </c>
      <c r="I73" s="16">
        <f>_xll.ACFCI(Analysis!$C$2:$C$145,1,$G73,0.05,1)</f>
        <v>0.47347208926157186</v>
      </c>
      <c r="J73" s="16">
        <f>_xll.ACFCI(Analysis!$C$2:$C$145,1,$G73,0.05,0)</f>
        <v>-0.47347208926157186</v>
      </c>
      <c r="K73" s="16">
        <f>_xll.PACF(Analysis!$C$2:$C$145,1,$G73)</f>
        <v>7.3432322700407601E-2</v>
      </c>
      <c r="L73" s="16">
        <f>_xll.PACFCI(Analysis!$C$2:$C$145,1,$G73,0.05,1)</f>
        <v>0.16333033204500447</v>
      </c>
      <c r="M73" s="16">
        <f>_xll.PACFCI(Analysis!$C$2:$C$145,1,$G73,0.05,0)</f>
        <v>-0.16333033204500447</v>
      </c>
    </row>
    <row r="74" spans="1:13" x14ac:dyDescent="0.25">
      <c r="A74" s="26">
        <v>20090</v>
      </c>
      <c r="B74" s="5">
        <v>242</v>
      </c>
      <c r="C74" s="19">
        <f t="shared" si="1"/>
        <v>5.4889377261566867</v>
      </c>
      <c r="D74" s="19">
        <v>5.5215722602446782E-2</v>
      </c>
      <c r="E74">
        <v>4.0400636817306435E-2</v>
      </c>
      <c r="G74" s="9">
        <v>8</v>
      </c>
      <c r="H74" s="16">
        <f>_xll.ACF(Analysis!$C$2:$C$145,1,$G74)</f>
        <v>0.72713134977295557</v>
      </c>
      <c r="I74" s="16">
        <f>_xll.ACFCI(Analysis!$C$2:$C$145,1,$G74,0.05,1)</f>
        <v>0.50468307306016258</v>
      </c>
      <c r="J74" s="16">
        <f>_xll.ACFCI(Analysis!$C$2:$C$145,1,$G74,0.05,0)</f>
        <v>-0.50468307306016258</v>
      </c>
      <c r="K74" s="16">
        <f>_xll.PACF(Analysis!$C$2:$C$145,1,$G74)</f>
        <v>0.21452190864121473</v>
      </c>
      <c r="L74" s="16">
        <f>_xll.PACFCI(Analysis!$C$2:$C$145,1,$G74,0.05,1)</f>
        <v>0.16333033204500447</v>
      </c>
      <c r="M74" s="16">
        <f>_xll.PACFCI(Analysis!$C$2:$C$145,1,$G74,0.05,0)</f>
        <v>-0.16333033204500447</v>
      </c>
    </row>
    <row r="75" spans="1:13" x14ac:dyDescent="0.25">
      <c r="A75" s="26">
        <v>20121</v>
      </c>
      <c r="B75" s="5">
        <v>233</v>
      </c>
      <c r="C75" s="19">
        <f t="shared" si="1"/>
        <v>5.4510384535657002</v>
      </c>
      <c r="D75" s="19">
        <v>-3.7899272590986577E-2</v>
      </c>
      <c r="E75">
        <v>4.3778758423280273E-2</v>
      </c>
      <c r="G75" s="9">
        <v>9</v>
      </c>
      <c r="H75" s="16">
        <f>_xll.ACF(Analysis!$C$2:$C$145,1,$G75)</f>
        <v>0.73364870077105859</v>
      </c>
      <c r="I75" s="16">
        <f>_xll.ACFCI(Analysis!$C$2:$C$145,1,$G75,0.05,1)</f>
        <v>0.53266533857091303</v>
      </c>
      <c r="J75" s="16">
        <f>_xll.ACFCI(Analysis!$C$2:$C$145,1,$G75,0.05,0)</f>
        <v>-0.53266533857091303</v>
      </c>
      <c r="K75" s="16">
        <f>_xll.PACF(Analysis!$C$2:$C$145,1,$G75)</f>
        <v>0.53915721895844804</v>
      </c>
      <c r="L75" s="16">
        <f>_xll.PACFCI(Analysis!$C$2:$C$145,1,$G75,0.05,1)</f>
        <v>0.16333033204500447</v>
      </c>
      <c r="M75" s="16">
        <f>_xll.PACFCI(Analysis!$C$2:$C$145,1,$G75,0.05,0)</f>
        <v>-0.16333033204500447</v>
      </c>
    </row>
    <row r="76" spans="1:13" x14ac:dyDescent="0.25">
      <c r="A76" s="26">
        <v>20149</v>
      </c>
      <c r="B76" s="5">
        <v>267</v>
      </c>
      <c r="C76" s="19">
        <f t="shared" si="1"/>
        <v>5.5872486584002496</v>
      </c>
      <c r="D76" s="19">
        <v>0.13621020483454949</v>
      </c>
      <c r="E76">
        <v>-8.6933346479660223E-2</v>
      </c>
      <c r="G76" s="9">
        <v>10</v>
      </c>
      <c r="H76" s="16">
        <f>_xll.ACF(Analysis!$C$2:$C$145,1,$G76)</f>
        <v>0.74425524868868498</v>
      </c>
      <c r="I76" s="16">
        <f>_xll.ACFCI(Analysis!$C$2:$C$145,1,$G76,0.05,1)</f>
        <v>0.55851721147340938</v>
      </c>
      <c r="J76" s="16">
        <f>_xll.ACFCI(Analysis!$C$2:$C$145,1,$G76,0.05,0)</f>
        <v>-0.55851721147340938</v>
      </c>
      <c r="K76" s="16">
        <f>_xll.PACF(Analysis!$C$2:$C$145,1,$G76)</f>
        <v>0.22890512532459831</v>
      </c>
      <c r="L76" s="16">
        <f>_xll.PACFCI(Analysis!$C$2:$C$145,1,$G76,0.05,1)</f>
        <v>0.16333033204500447</v>
      </c>
      <c r="M76" s="16">
        <f>_xll.PACFCI(Analysis!$C$2:$C$145,1,$G76,0.05,0)</f>
        <v>-0.16333033204500447</v>
      </c>
    </row>
    <row r="77" spans="1:13" x14ac:dyDescent="0.25">
      <c r="A77" s="26">
        <v>20180</v>
      </c>
      <c r="B77" s="5">
        <v>269</v>
      </c>
      <c r="C77" s="19">
        <f t="shared" si="1"/>
        <v>5.5947113796018391</v>
      </c>
      <c r="D77" s="19">
        <v>7.4627212015894173E-3</v>
      </c>
      <c r="E77">
        <v>4.2098217864345422E-2</v>
      </c>
      <c r="G77" s="9">
        <v>11</v>
      </c>
      <c r="H77" s="16">
        <f>_xll.ACF(Analysis!$C$2:$C$145,1,$G77)</f>
        <v>0.75802664972940037</v>
      </c>
      <c r="I77" s="16">
        <f>_xll.ACFCI(Analysis!$C$2:$C$145,1,$G77,0.05,1)</f>
        <v>0.58365960674286788</v>
      </c>
      <c r="J77" s="16">
        <f>_xll.ACFCI(Analysis!$C$2:$C$145,1,$G77,0.05,0)</f>
        <v>-0.58365960674286788</v>
      </c>
      <c r="K77" s="16">
        <f>_xll.PACF(Analysis!$C$2:$C$145,1,$G77)</f>
        <v>0.65092882059337176</v>
      </c>
      <c r="L77" s="16">
        <f>_xll.PACFCI(Analysis!$C$2:$C$145,1,$G77,0.05,1)</f>
        <v>0.16333033204500447</v>
      </c>
      <c r="M77" s="16">
        <f>_xll.PACFCI(Analysis!$C$2:$C$145,1,$G77,0.05,0)</f>
        <v>-0.16333033204500447</v>
      </c>
    </row>
    <row r="78" spans="1:13" x14ac:dyDescent="0.25">
      <c r="A78" s="26">
        <v>20210</v>
      </c>
      <c r="B78" s="5">
        <v>270</v>
      </c>
      <c r="C78" s="19">
        <f t="shared" si="1"/>
        <v>5.598421958998375</v>
      </c>
      <c r="D78" s="19">
        <v>3.7105793965359624E-3</v>
      </c>
      <c r="E78">
        <v>-2.6660518479762807E-2</v>
      </c>
      <c r="G78" s="9">
        <v>12</v>
      </c>
      <c r="H78" s="16">
        <f>_xll.ACF(Analysis!$C$2:$C$145,1,$G78)</f>
        <v>0.76194291840132722</v>
      </c>
      <c r="I78" s="16">
        <f>_xll.ACFCI(Analysis!$C$2:$C$145,1,$G78,0.05,1)</f>
        <v>0.60845044142003868</v>
      </c>
      <c r="J78" s="16">
        <f>_xll.ACFCI(Analysis!$C$2:$C$145,1,$G78,0.05,0)</f>
        <v>-0.60845044142003868</v>
      </c>
      <c r="K78" s="16">
        <f>_xll.PACF(Analysis!$C$2:$C$145,1,$G78)</f>
        <v>0.55964403229412163</v>
      </c>
      <c r="L78" s="16">
        <f>_xll.PACFCI(Analysis!$C$2:$C$145,1,$G78,0.05,1)</f>
        <v>0.16333033204500447</v>
      </c>
      <c r="M78" s="16">
        <f>_xll.PACFCI(Analysis!$C$2:$C$145,1,$G78,0.05,0)</f>
        <v>-0.16333033204500447</v>
      </c>
    </row>
    <row r="79" spans="1:13" x14ac:dyDescent="0.25">
      <c r="A79" s="26">
        <v>20241</v>
      </c>
      <c r="B79" s="5">
        <v>315</v>
      </c>
      <c r="C79" s="19">
        <f t="shared" si="1"/>
        <v>5.7525726388256331</v>
      </c>
      <c r="D79" s="19">
        <v>0.15415067982725805</v>
      </c>
      <c r="E79">
        <v>3.3522692038643775E-2</v>
      </c>
      <c r="G79" s="9">
        <v>13</v>
      </c>
      <c r="H79" s="16">
        <f>_xll.ACF(Analysis!$C$2:$C$145,1,$G79)</f>
        <v>0.71650448116823462</v>
      </c>
      <c r="I79" s="16">
        <f>_xll.ACFCI(Analysis!$C$2:$C$145,1,$G79,0.05,1)</f>
        <v>0.63314228262191208</v>
      </c>
      <c r="J79" s="16">
        <f>_xll.ACFCI(Analysis!$C$2:$C$145,1,$G79,0.05,0)</f>
        <v>-0.63314228262191208</v>
      </c>
      <c r="K79" s="16">
        <f>_xll.PACF(Analysis!$C$2:$C$145,1,$G79)</f>
        <v>-0.57050535640970301</v>
      </c>
      <c r="L79" s="16">
        <f>_xll.PACFCI(Analysis!$C$2:$C$145,1,$G79,0.05,1)</f>
        <v>0.16333033204500447</v>
      </c>
      <c r="M79" s="16">
        <f>_xll.PACFCI(Analysis!$C$2:$C$145,1,$G79,0.05,0)</f>
        <v>-0.16333033204500447</v>
      </c>
    </row>
    <row r="80" spans="1:13" x14ac:dyDescent="0.25">
      <c r="A80" s="26">
        <v>20271</v>
      </c>
      <c r="B80" s="5">
        <v>364</v>
      </c>
      <c r="C80" s="19">
        <f t="shared" si="1"/>
        <v>5.8971538676367405</v>
      </c>
      <c r="D80" s="19">
        <v>0.14458122881110747</v>
      </c>
      <c r="E80">
        <v>1.0103314582553757E-2</v>
      </c>
      <c r="G80" s="9">
        <v>14</v>
      </c>
      <c r="H80" s="16">
        <f>_xll.ACF(Analysis!$C$2:$C$145,1,$G80)</f>
        <v>0.66304278889300872</v>
      </c>
      <c r="I80" s="16">
        <f>_xll.ACFCI(Analysis!$C$2:$C$145,1,$G80,0.05,1)</f>
        <v>0.6571483497065852</v>
      </c>
      <c r="J80" s="16">
        <f>_xll.ACFCI(Analysis!$C$2:$C$145,1,$G80,0.05,0)</f>
        <v>-0.6571483497065852</v>
      </c>
      <c r="K80" s="16">
        <f>_xll.PACF(Analysis!$C$2:$C$145,1,$G80)</f>
        <v>-0.29025410894878595</v>
      </c>
      <c r="L80" s="16">
        <f>_xll.PACFCI(Analysis!$C$2:$C$145,1,$G80,0.05,1)</f>
        <v>0.16333033204500447</v>
      </c>
      <c r="M80" s="16">
        <f>_xll.PACFCI(Analysis!$C$2:$C$145,1,$G80,0.05,0)</f>
        <v>-0.16333033204500447</v>
      </c>
    </row>
    <row r="81" spans="1:13" x14ac:dyDescent="0.25">
      <c r="A81" s="26">
        <v>20302</v>
      </c>
      <c r="B81" s="5">
        <v>347</v>
      </c>
      <c r="C81" s="19">
        <f t="shared" si="1"/>
        <v>5.8493247799468593</v>
      </c>
      <c r="D81" s="19">
        <v>-4.7829087689881256E-2</v>
      </c>
      <c r="E81">
        <v>-1.7574679332079235E-2</v>
      </c>
      <c r="G81" s="9">
        <v>15</v>
      </c>
      <c r="H81" s="16">
        <f>_xll.ACF(Analysis!$C$2:$C$145,1,$G81)</f>
        <v>0.61836285662777835</v>
      </c>
      <c r="I81" s="16">
        <f>_xll.ACFCI(Analysis!$C$2:$C$145,1,$G81,0.05,1)</f>
        <v>0.67766846695644922</v>
      </c>
      <c r="J81" s="16">
        <f>_xll.ACFCI(Analysis!$C$2:$C$145,1,$G81,0.05,0)</f>
        <v>-0.67766846695644922</v>
      </c>
      <c r="K81" s="16">
        <f>_xll.PACF(Analysis!$C$2:$C$145,1,$G81)</f>
        <v>0.11315332780906892</v>
      </c>
      <c r="L81" s="16">
        <f>_xll.PACFCI(Analysis!$C$2:$C$145,1,$G81,0.05,1)</f>
        <v>0.16333033204500447</v>
      </c>
      <c r="M81" s="16">
        <f>_xll.PACFCI(Analysis!$C$2:$C$145,1,$G81,0.05,0)</f>
        <v>-0.16333033204500447</v>
      </c>
    </row>
    <row r="82" spans="1:13" x14ac:dyDescent="0.25">
      <c r="A82" s="26">
        <v>20333</v>
      </c>
      <c r="B82" s="5">
        <v>312</v>
      </c>
      <c r="C82" s="19">
        <f t="shared" si="1"/>
        <v>5.7430031878094825</v>
      </c>
      <c r="D82" s="19">
        <v>-0.1063215921373768</v>
      </c>
      <c r="E82">
        <v>1.702295518015351E-2</v>
      </c>
      <c r="G82" s="9">
        <v>16</v>
      </c>
      <c r="H82" s="16">
        <f>_xll.ACF(Analysis!$C$2:$C$145,1,$G82)</f>
        <v>0.57620872814745572</v>
      </c>
      <c r="I82" s="16">
        <f>_xll.ACFCI(Analysis!$C$2:$C$145,1,$G82,0.05,1)</f>
        <v>0.69475906951085198</v>
      </c>
      <c r="J82" s="16">
        <f>_xll.ACFCI(Analysis!$C$2:$C$145,1,$G82,0.05,0)</f>
        <v>-0.69475906951085198</v>
      </c>
      <c r="K82" s="16">
        <f>_xll.PACF(Analysis!$C$2:$C$145,1,$G82)</f>
        <v>-0.14281436956620946</v>
      </c>
      <c r="L82" s="16">
        <f>_xll.PACFCI(Analysis!$C$2:$C$145,1,$G82,0.05,1)</f>
        <v>0.16333033204500447</v>
      </c>
      <c r="M82" s="16">
        <f>_xll.PACFCI(Analysis!$C$2:$C$145,1,$G82,0.05,0)</f>
        <v>-0.16333033204500447</v>
      </c>
    </row>
    <row r="83" spans="1:13" x14ac:dyDescent="0.25">
      <c r="A83" s="26">
        <v>20363</v>
      </c>
      <c r="B83" s="5">
        <v>274</v>
      </c>
      <c r="C83" s="19">
        <f t="shared" si="1"/>
        <v>5.6131281063880705</v>
      </c>
      <c r="D83" s="19">
        <v>-0.12987508142141202</v>
      </c>
      <c r="E83">
        <v>-6.7690232761146163E-3</v>
      </c>
      <c r="G83" s="9">
        <v>17</v>
      </c>
      <c r="H83" s="16">
        <f>_xll.ACF(Analysis!$C$2:$C$145,1,$G83)</f>
        <v>0.54380131946480392</v>
      </c>
      <c r="I83" s="16">
        <f>_xll.ACFCI(Analysis!$C$2:$C$145,1,$G83,0.05,1)</f>
        <v>0.70928916430656697</v>
      </c>
      <c r="J83" s="16">
        <f>_xll.ACFCI(Analysis!$C$2:$C$145,1,$G83,0.05,0)</f>
        <v>-0.70928916430656697</v>
      </c>
      <c r="K83" s="16">
        <f>_xll.PACF(Analysis!$C$2:$C$145,1,$G83)</f>
        <v>1.6820527552019618E-3</v>
      </c>
      <c r="L83" s="16">
        <f>_xll.PACFCI(Analysis!$C$2:$C$145,1,$G83,0.05,1)</f>
        <v>0.16333033204500447</v>
      </c>
      <c r="M83" s="16">
        <f>_xll.PACFCI(Analysis!$C$2:$C$145,1,$G83,0.05,0)</f>
        <v>-0.16333033204500447</v>
      </c>
    </row>
    <row r="84" spans="1:13" x14ac:dyDescent="0.25">
      <c r="A84" s="26">
        <v>20394</v>
      </c>
      <c r="B84" s="5">
        <v>237</v>
      </c>
      <c r="C84" s="19">
        <f t="shared" si="1"/>
        <v>5.4680601411351315</v>
      </c>
      <c r="D84" s="19">
        <v>-0.14506796525293897</v>
      </c>
      <c r="E84">
        <v>-2.4551940740486167E-2</v>
      </c>
      <c r="G84" s="9">
        <v>18</v>
      </c>
      <c r="H84" s="16">
        <f>_xll.ACF(Analysis!$C$2:$C$145,1,$G84)</f>
        <v>0.5194561142234233</v>
      </c>
      <c r="I84" s="16">
        <f>_xll.ACFCI(Analysis!$C$2:$C$145,1,$G84,0.05,1)</f>
        <v>0.72166847811323787</v>
      </c>
      <c r="J84" s="16">
        <f>_xll.ACFCI(Analysis!$C$2:$C$145,1,$G84,0.05,0)</f>
        <v>-0.72166847811323787</v>
      </c>
      <c r="K84" s="16">
        <f>_xll.PACF(Analysis!$C$2:$C$145,1,$G84)</f>
        <v>-1.7058956409929819E-2</v>
      </c>
      <c r="L84" s="16">
        <f>_xll.PACFCI(Analysis!$C$2:$C$145,1,$G84,0.05,1)</f>
        <v>0.16333033204500447</v>
      </c>
      <c r="M84" s="16">
        <f>_xll.PACFCI(Analysis!$C$2:$C$145,1,$G84,0.05,0)</f>
        <v>-0.16333033204500447</v>
      </c>
    </row>
    <row r="85" spans="1:13" x14ac:dyDescent="0.25">
      <c r="A85" s="26">
        <v>20424</v>
      </c>
      <c r="B85" s="5">
        <v>278</v>
      </c>
      <c r="C85" s="19">
        <f t="shared" si="1"/>
        <v>5.6276211136906369</v>
      </c>
      <c r="D85" s="19">
        <v>0.15956097255550539</v>
      </c>
      <c r="E85">
        <v>3.9044948043052585E-2</v>
      </c>
      <c r="G85" s="9">
        <v>19</v>
      </c>
      <c r="H85" s="16">
        <f>_xll.ACF(Analysis!$C$2:$C$145,1,$G85)</f>
        <v>0.5007029244419916</v>
      </c>
      <c r="I85" s="16">
        <f>_xll.ACFCI(Analysis!$C$2:$C$145,1,$G85,0.05,1)</f>
        <v>0.73251833469882532</v>
      </c>
      <c r="J85" s="16">
        <f>_xll.ACFCI(Analysis!$C$2:$C$145,1,$G85,0.05,0)</f>
        <v>-0.73251833469882532</v>
      </c>
      <c r="K85" s="16">
        <f>_xll.PACF(Analysis!$C$2:$C$145,1,$G85)</f>
        <v>0.14382641204153818</v>
      </c>
      <c r="L85" s="16">
        <f>_xll.PACFCI(Analysis!$C$2:$C$145,1,$G85,0.05,1)</f>
        <v>0.16333033204500447</v>
      </c>
      <c r="M85" s="16">
        <f>_xll.PACFCI(Analysis!$C$2:$C$145,1,$G85,0.05,0)</f>
        <v>-0.16333033204500447</v>
      </c>
    </row>
    <row r="86" spans="1:13" x14ac:dyDescent="0.25">
      <c r="A86" s="26">
        <v>20455</v>
      </c>
      <c r="B86" s="5">
        <v>284</v>
      </c>
      <c r="C86" s="19">
        <f t="shared" si="1"/>
        <v>5.6489742381612063</v>
      </c>
      <c r="D86" s="19">
        <v>2.1353124470569362E-2</v>
      </c>
      <c r="E86">
        <v>-3.3862598131877419E-2</v>
      </c>
      <c r="G86" s="9">
        <v>20</v>
      </c>
      <c r="H86" s="16">
        <f>_xll.ACF(Analysis!$C$2:$C$145,1,$G86)</f>
        <v>0.49040280469381792</v>
      </c>
      <c r="I86" s="16">
        <f>_xll.ACFCI(Analysis!$C$2:$C$145,1,$G86,0.05,1)</f>
        <v>0.7422801085010291</v>
      </c>
      <c r="J86" s="16">
        <f>_xll.ACFCI(Analysis!$C$2:$C$145,1,$G86,0.05,0)</f>
        <v>-0.7422801085010291</v>
      </c>
      <c r="K86" s="16">
        <f>_xll.PACF(Analysis!$C$2:$C$145,1,$G86)</f>
        <v>-6.5754734096597031E-2</v>
      </c>
      <c r="L86" s="16">
        <f>_xll.PACFCI(Analysis!$C$2:$C$145,1,$G86,0.05,1)</f>
        <v>0.16333033204500447</v>
      </c>
      <c r="M86" s="16">
        <f>_xll.PACFCI(Analysis!$C$2:$C$145,1,$G86,0.05,0)</f>
        <v>-0.16333033204500447</v>
      </c>
    </row>
    <row r="87" spans="1:13" x14ac:dyDescent="0.25">
      <c r="A87" s="26">
        <v>20486</v>
      </c>
      <c r="B87" s="5">
        <v>277</v>
      </c>
      <c r="C87" s="19">
        <f t="shared" si="1"/>
        <v>5.6240175061873385</v>
      </c>
      <c r="D87" s="19">
        <v>-2.4956731973867718E-2</v>
      </c>
      <c r="E87">
        <v>1.2942540617118858E-2</v>
      </c>
      <c r="G87" s="9">
        <v>21</v>
      </c>
      <c r="H87" s="16">
        <f>_xll.ACF(Analysis!$C$2:$C$145,1,$G87)</f>
        <v>0.49818190239203114</v>
      </c>
      <c r="I87" s="16">
        <f>_xll.ACFCI(Analysis!$C$2:$C$145,1,$G87,0.05,1)</f>
        <v>0.75123610673824071</v>
      </c>
      <c r="J87" s="16">
        <f>_xll.ACFCI(Analysis!$C$2:$C$145,1,$G87,0.05,0)</f>
        <v>-0.75123610673824071</v>
      </c>
      <c r="K87" s="16">
        <f>_xll.PACF(Analysis!$C$2:$C$145,1,$G87)</f>
        <v>0.16057771334566964</v>
      </c>
      <c r="L87" s="16">
        <f>_xll.PACFCI(Analysis!$C$2:$C$145,1,$G87,0.05,1)</f>
        <v>0.16333033204500447</v>
      </c>
      <c r="M87" s="16">
        <f>_xll.PACFCI(Analysis!$C$2:$C$145,1,$G87,0.05,0)</f>
        <v>-0.16333033204500447</v>
      </c>
    </row>
    <row r="88" spans="1:13" x14ac:dyDescent="0.25">
      <c r="A88" s="26">
        <v>20515</v>
      </c>
      <c r="B88" s="5">
        <v>317</v>
      </c>
      <c r="C88" s="19">
        <f t="shared" si="1"/>
        <v>5.7589017738772803</v>
      </c>
      <c r="D88" s="19">
        <v>0.13488426768994177</v>
      </c>
      <c r="E88">
        <v>-1.3259371446077139E-3</v>
      </c>
      <c r="G88" s="9">
        <v>22</v>
      </c>
      <c r="H88" s="16">
        <f>_xll.ACF(Analysis!$C$2:$C$145,1,$G88)</f>
        <v>0.50616663895637359</v>
      </c>
      <c r="I88" s="16">
        <f>_xll.ACFCI(Analysis!$C$2:$C$145,1,$G88,0.05,1)</f>
        <v>0.75972821197838847</v>
      </c>
      <c r="J88" s="16">
        <f>_xll.ACFCI(Analysis!$C$2:$C$145,1,$G88,0.05,0)</f>
        <v>-0.75972821197838847</v>
      </c>
      <c r="K88" s="16">
        <f>_xll.PACF(Analysis!$C$2:$C$145,1,$G88)</f>
        <v>0.24847782519902067</v>
      </c>
      <c r="L88" s="16">
        <f>_xll.PACFCI(Analysis!$C$2:$C$145,1,$G88,0.05,1)</f>
        <v>0.16333033204500447</v>
      </c>
      <c r="M88" s="16">
        <f>_xll.PACFCI(Analysis!$C$2:$C$145,1,$G88,0.05,0)</f>
        <v>-0.16333033204500447</v>
      </c>
    </row>
    <row r="89" spans="1:13" x14ac:dyDescent="0.25">
      <c r="A89" s="26">
        <v>20546</v>
      </c>
      <c r="B89" s="5">
        <v>313</v>
      </c>
      <c r="C89" s="19">
        <f t="shared" si="1"/>
        <v>5.7462031905401529</v>
      </c>
      <c r="D89" s="19">
        <v>-1.2698583337127367E-2</v>
      </c>
      <c r="E89">
        <v>-2.0161304538716784E-2</v>
      </c>
      <c r="G89" s="9">
        <v>23</v>
      </c>
      <c r="H89" s="16">
        <f>_xll.ACF(Analysis!$C$2:$C$145,1,$G89)</f>
        <v>0.5167433870523982</v>
      </c>
      <c r="I89" s="16">
        <f>_xll.ACFCI(Analysis!$C$2:$C$145,1,$G89,0.05,1)</f>
        <v>0.76839347282174952</v>
      </c>
      <c r="J89" s="16">
        <f>_xll.ACFCI(Analysis!$C$2:$C$145,1,$G89,0.05,0)</f>
        <v>-0.76839347282174952</v>
      </c>
      <c r="K89" s="16">
        <f>_xll.PACF(Analysis!$C$2:$C$145,1,$G89)</f>
        <v>0.25832588071707174</v>
      </c>
      <c r="L89" s="16">
        <f>_xll.PACFCI(Analysis!$C$2:$C$145,1,$G89,0.05,1)</f>
        <v>0.16333033204500447</v>
      </c>
      <c r="M89" s="16">
        <f>_xll.PACFCI(Analysis!$C$2:$C$145,1,$G89,0.05,0)</f>
        <v>-0.16333033204500447</v>
      </c>
    </row>
    <row r="90" spans="1:13" x14ac:dyDescent="0.25">
      <c r="A90" s="26">
        <v>20576</v>
      </c>
      <c r="B90" s="5">
        <v>318</v>
      </c>
      <c r="C90" s="19">
        <f t="shared" si="1"/>
        <v>5.7620513827801769</v>
      </c>
      <c r="D90" s="19">
        <v>1.5848192240023984E-2</v>
      </c>
      <c r="E90">
        <v>1.2137612843488021E-2</v>
      </c>
      <c r="G90" s="9">
        <v>24</v>
      </c>
      <c r="H90" s="16">
        <f>_xll.ACF(Analysis!$C$2:$C$145,1,$G90)</f>
        <v>0.52048972535473848</v>
      </c>
      <c r="I90" s="16">
        <f>_xll.ACFCI(Analysis!$C$2:$C$145,1,$G90,0.05,1)</f>
        <v>0.77723739553252347</v>
      </c>
      <c r="J90" s="16">
        <f>_xll.ACFCI(Analysis!$C$2:$C$145,1,$G90,0.05,0)</f>
        <v>-0.77723739553252347</v>
      </c>
      <c r="K90" s="16">
        <f>_xll.PACF(Analysis!$C$2:$C$145,1,$G90)</f>
        <v>8.1746533908882896E-2</v>
      </c>
      <c r="L90" s="16">
        <f>_xll.PACFCI(Analysis!$C$2:$C$145,1,$G90,0.05,1)</f>
        <v>0.16333033204500447</v>
      </c>
      <c r="M90" s="16">
        <f>_xll.PACFCI(Analysis!$C$2:$C$145,1,$G90,0.05,0)</f>
        <v>-0.16333033204500447</v>
      </c>
    </row>
    <row r="91" spans="1:13" x14ac:dyDescent="0.25">
      <c r="A91" s="26">
        <v>20607</v>
      </c>
      <c r="B91" s="5">
        <v>374</v>
      </c>
      <c r="C91" s="19">
        <f t="shared" si="1"/>
        <v>5.9242557974145322</v>
      </c>
      <c r="D91" s="19">
        <v>0.16220441463435531</v>
      </c>
      <c r="E91">
        <v>8.053734807097257E-3</v>
      </c>
    </row>
    <row r="92" spans="1:13" x14ac:dyDescent="0.25">
      <c r="A92" s="26">
        <v>20637</v>
      </c>
      <c r="B92" s="5">
        <v>413</v>
      </c>
      <c r="C92" s="19">
        <f t="shared" si="1"/>
        <v>6.0234475929610332</v>
      </c>
      <c r="D92" s="19">
        <v>9.9191795546500927E-2</v>
      </c>
      <c r="E92">
        <v>-4.5389433264606538E-2</v>
      </c>
    </row>
    <row r="93" spans="1:13" x14ac:dyDescent="0.25">
      <c r="A93" s="26">
        <v>20668</v>
      </c>
      <c r="B93" s="5">
        <v>405</v>
      </c>
      <c r="C93" s="19">
        <f t="shared" si="1"/>
        <v>6.0038870671065387</v>
      </c>
      <c r="D93" s="19">
        <v>-1.9560525854494415E-2</v>
      </c>
      <c r="E93">
        <v>2.8268561835386841E-2</v>
      </c>
    </row>
    <row r="94" spans="1:13" x14ac:dyDescent="0.25">
      <c r="A94" s="26">
        <v>20699</v>
      </c>
      <c r="B94" s="5">
        <v>355</v>
      </c>
      <c r="C94" s="19">
        <f t="shared" si="1"/>
        <v>5.872117789475416</v>
      </c>
      <c r="D94" s="19">
        <v>-0.13176927763112278</v>
      </c>
      <c r="E94">
        <v>-2.5447685493745986E-2</v>
      </c>
    </row>
    <row r="95" spans="1:13" x14ac:dyDescent="0.25">
      <c r="A95" s="26">
        <v>20729</v>
      </c>
      <c r="B95" s="5">
        <v>306</v>
      </c>
      <c r="C95" s="19">
        <f t="shared" si="1"/>
        <v>5.7235851019523807</v>
      </c>
      <c r="D95" s="19">
        <v>-0.14853268752303528</v>
      </c>
      <c r="E95">
        <v>-1.8657606101623259E-2</v>
      </c>
    </row>
    <row r="96" spans="1:13" x14ac:dyDescent="0.25">
      <c r="A96" s="26">
        <v>20760</v>
      </c>
      <c r="B96" s="5">
        <v>271</v>
      </c>
      <c r="C96" s="19">
        <f t="shared" si="1"/>
        <v>5.602118820879701</v>
      </c>
      <c r="D96" s="19">
        <v>-0.12146628107267965</v>
      </c>
      <c r="E96">
        <v>2.3601684180259319E-2</v>
      </c>
    </row>
    <row r="97" spans="1:5" x14ac:dyDescent="0.25">
      <c r="A97" s="26">
        <v>20790</v>
      </c>
      <c r="B97" s="5">
        <v>306</v>
      </c>
      <c r="C97" s="19">
        <f t="shared" si="1"/>
        <v>5.7235851019523807</v>
      </c>
      <c r="D97" s="19">
        <v>0.12146628107267965</v>
      </c>
      <c r="E97">
        <v>-3.8094691482825738E-2</v>
      </c>
    </row>
    <row r="98" spans="1:5" x14ac:dyDescent="0.25">
      <c r="A98" s="26">
        <v>20821</v>
      </c>
      <c r="B98" s="5">
        <v>315</v>
      </c>
      <c r="C98" s="19">
        <f t="shared" si="1"/>
        <v>5.7525726388256331</v>
      </c>
      <c r="D98" s="19">
        <v>2.8987536873252395E-2</v>
      </c>
      <c r="E98">
        <v>7.6344124026830329E-3</v>
      </c>
    </row>
    <row r="99" spans="1:5" x14ac:dyDescent="0.25">
      <c r="A99" s="26">
        <v>20852</v>
      </c>
      <c r="B99" s="5">
        <v>301</v>
      </c>
      <c r="C99" s="19">
        <f t="shared" si="1"/>
        <v>5.7071102647488754</v>
      </c>
      <c r="D99" s="19">
        <v>-4.5462374076757683E-2</v>
      </c>
      <c r="E99">
        <v>-2.0505642102889965E-2</v>
      </c>
    </row>
    <row r="100" spans="1:5" x14ac:dyDescent="0.25">
      <c r="A100" s="26">
        <v>20880</v>
      </c>
      <c r="B100" s="5">
        <v>356</v>
      </c>
      <c r="C100" s="19">
        <f t="shared" si="1"/>
        <v>5.8749307308520304</v>
      </c>
      <c r="D100" s="19">
        <v>0.16782046610315504</v>
      </c>
      <c r="E100">
        <v>3.2936198413213269E-2</v>
      </c>
    </row>
    <row r="101" spans="1:5" x14ac:dyDescent="0.25">
      <c r="A101" s="26">
        <v>20911</v>
      </c>
      <c r="B101" s="5">
        <v>348</v>
      </c>
      <c r="C101" s="19">
        <f t="shared" si="1"/>
        <v>5.8522024797744745</v>
      </c>
      <c r="D101" s="19">
        <v>-2.2728251077555939E-2</v>
      </c>
      <c r="E101">
        <v>-1.0029667740428572E-2</v>
      </c>
    </row>
    <row r="102" spans="1:5" x14ac:dyDescent="0.25">
      <c r="A102" s="26">
        <v>20941</v>
      </c>
      <c r="B102" s="5">
        <v>355</v>
      </c>
      <c r="C102" s="19">
        <f t="shared" si="1"/>
        <v>5.872117789475416</v>
      </c>
      <c r="D102" s="19">
        <v>1.9915309700941464E-2</v>
      </c>
      <c r="E102">
        <v>4.0671174609174798E-3</v>
      </c>
    </row>
    <row r="103" spans="1:5" x14ac:dyDescent="0.25">
      <c r="A103" s="26">
        <v>20972</v>
      </c>
      <c r="B103" s="5">
        <v>422</v>
      </c>
      <c r="C103" s="19">
        <f t="shared" si="1"/>
        <v>6.045005314036012</v>
      </c>
      <c r="D103" s="19">
        <v>0.17288752456059608</v>
      </c>
      <c r="E103">
        <v>1.0683109926240775E-2</v>
      </c>
    </row>
    <row r="104" spans="1:5" x14ac:dyDescent="0.25">
      <c r="A104" s="26">
        <v>21002</v>
      </c>
      <c r="B104" s="5">
        <v>465</v>
      </c>
      <c r="C104" s="19">
        <f t="shared" si="1"/>
        <v>6.1420374055873559</v>
      </c>
      <c r="D104" s="19">
        <v>9.7032091551343846E-2</v>
      </c>
      <c r="E104">
        <v>-2.1597039951570807E-3</v>
      </c>
    </row>
    <row r="105" spans="1:5" x14ac:dyDescent="0.25">
      <c r="A105" s="26">
        <v>21033</v>
      </c>
      <c r="B105" s="5">
        <v>467</v>
      </c>
      <c r="C105" s="19">
        <f t="shared" si="1"/>
        <v>6.1463292576688975</v>
      </c>
      <c r="D105" s="19">
        <v>4.2918520815415917E-3</v>
      </c>
      <c r="E105">
        <v>2.3852377936036007E-2</v>
      </c>
    </row>
    <row r="106" spans="1:5" x14ac:dyDescent="0.25">
      <c r="A106" s="26">
        <v>21064</v>
      </c>
      <c r="B106" s="5">
        <v>404</v>
      </c>
      <c r="C106" s="19">
        <f t="shared" si="1"/>
        <v>6.0014148779611505</v>
      </c>
      <c r="D106" s="19">
        <v>-0.14491437970774701</v>
      </c>
      <c r="E106">
        <v>-1.3145102076624227E-2</v>
      </c>
    </row>
    <row r="107" spans="1:5" x14ac:dyDescent="0.25">
      <c r="A107" s="26">
        <v>21094</v>
      </c>
      <c r="B107" s="5">
        <v>347</v>
      </c>
      <c r="C107" s="19">
        <f t="shared" si="1"/>
        <v>5.8493247799468593</v>
      </c>
      <c r="D107" s="19">
        <v>-0.15209009801429119</v>
      </c>
      <c r="E107">
        <v>-3.5574104912559079E-3</v>
      </c>
    </row>
    <row r="108" spans="1:5" x14ac:dyDescent="0.25">
      <c r="A108" s="26">
        <v>21125</v>
      </c>
      <c r="B108" s="5">
        <v>305</v>
      </c>
      <c r="C108" s="19">
        <f t="shared" si="1"/>
        <v>5.7203117766074119</v>
      </c>
      <c r="D108" s="19">
        <v>-0.12901300333944743</v>
      </c>
      <c r="E108">
        <v>-7.5467222667677802E-3</v>
      </c>
    </row>
    <row r="109" spans="1:5" x14ac:dyDescent="0.25">
      <c r="A109" s="26">
        <v>21155</v>
      </c>
      <c r="B109" s="5">
        <v>336</v>
      </c>
      <c r="C109" s="19">
        <f t="shared" si="1"/>
        <v>5.8171111599632042</v>
      </c>
      <c r="D109" s="19">
        <v>9.6799383355792301E-2</v>
      </c>
      <c r="E109">
        <v>-2.4666897716887348E-2</v>
      </c>
    </row>
    <row r="110" spans="1:5" x14ac:dyDescent="0.25">
      <c r="A110" s="26">
        <v>21186</v>
      </c>
      <c r="B110" s="5">
        <v>340</v>
      </c>
      <c r="C110" s="19">
        <f t="shared" si="1"/>
        <v>5.8289456176102075</v>
      </c>
      <c r="D110" s="19">
        <v>1.1834457647003305E-2</v>
      </c>
      <c r="E110">
        <v>-1.7153079226249091E-2</v>
      </c>
    </row>
    <row r="111" spans="1:5" x14ac:dyDescent="0.25">
      <c r="A111" s="26">
        <v>21217</v>
      </c>
      <c r="B111" s="5">
        <v>318</v>
      </c>
      <c r="C111" s="19">
        <f t="shared" si="1"/>
        <v>5.7620513827801769</v>
      </c>
      <c r="D111" s="19">
        <v>-6.6894234830030541E-2</v>
      </c>
      <c r="E111">
        <v>-2.1431860753272858E-2</v>
      </c>
    </row>
    <row r="112" spans="1:5" x14ac:dyDescent="0.25">
      <c r="A112" s="26">
        <v>21245</v>
      </c>
      <c r="B112" s="5">
        <v>362</v>
      </c>
      <c r="C112" s="19">
        <f t="shared" si="1"/>
        <v>5.8916442118257715</v>
      </c>
      <c r="D112" s="19">
        <v>0.12959282904559455</v>
      </c>
      <c r="E112">
        <v>-3.8227637057560493E-2</v>
      </c>
    </row>
    <row r="113" spans="1:13" x14ac:dyDescent="0.25">
      <c r="A113" s="26">
        <v>21276</v>
      </c>
      <c r="B113" s="5">
        <v>348</v>
      </c>
      <c r="C113" s="19">
        <f t="shared" si="1"/>
        <v>5.8522024797744745</v>
      </c>
      <c r="D113" s="19">
        <v>-3.9441732051296974E-2</v>
      </c>
      <c r="E113">
        <v>-1.6713480973741035E-2</v>
      </c>
    </row>
    <row r="114" spans="1:13" ht="15.75" thickBot="1" x14ac:dyDescent="0.3">
      <c r="A114" s="26">
        <v>21306</v>
      </c>
      <c r="B114" s="5">
        <v>363</v>
      </c>
      <c r="C114" s="19">
        <f t="shared" si="1"/>
        <v>5.8944028342648505</v>
      </c>
      <c r="D114" s="19">
        <v>4.2200354490375958E-2</v>
      </c>
      <c r="E114">
        <v>2.2285044789434494E-2</v>
      </c>
      <c r="G114" s="1" t="s">
        <v>19</v>
      </c>
    </row>
    <row r="115" spans="1:13" ht="15.75" thickBot="1" x14ac:dyDescent="0.3">
      <c r="A115" s="26">
        <v>21337</v>
      </c>
      <c r="B115" s="5">
        <v>435</v>
      </c>
      <c r="C115" s="19">
        <f t="shared" si="1"/>
        <v>6.0753460310886842</v>
      </c>
      <c r="D115" s="19">
        <v>0.18094319682383375</v>
      </c>
      <c r="E115">
        <v>8.0556722632376676E-3</v>
      </c>
      <c r="G115" s="14" t="s">
        <v>20</v>
      </c>
      <c r="H115" s="14" t="s">
        <v>21</v>
      </c>
      <c r="I115" s="14" t="s">
        <v>22</v>
      </c>
      <c r="J115" s="14" t="s">
        <v>23</v>
      </c>
      <c r="K115" s="14" t="s">
        <v>24</v>
      </c>
      <c r="L115" s="14" t="s">
        <v>22</v>
      </c>
      <c r="M115" s="14" t="s">
        <v>23</v>
      </c>
    </row>
    <row r="116" spans="1:13" x14ac:dyDescent="0.25">
      <c r="A116" s="26">
        <v>21367</v>
      </c>
      <c r="B116" s="5">
        <v>491</v>
      </c>
      <c r="C116" s="19">
        <f t="shared" si="1"/>
        <v>6.1964441277945204</v>
      </c>
      <c r="D116" s="19">
        <v>0.12109809670583616</v>
      </c>
      <c r="E116">
        <v>2.4066005154492309E-2</v>
      </c>
      <c r="G116" s="9">
        <v>1</v>
      </c>
      <c r="H116" s="16">
        <f>_xll.ACF(Analysis!$E$15:$E$145,1,$G116)</f>
        <v>-0.34112379829835449</v>
      </c>
      <c r="I116" s="16">
        <f>_xll.ACFCI(Analysis!$E$15:$E$145,1,$G116,0.05,1)</f>
        <v>0.17124284842021767</v>
      </c>
      <c r="J116" s="16">
        <f>_xll.ACFCI(Analysis!$E$15:$E$145,1,$G116,0.05,0)</f>
        <v>-0.17124284842021767</v>
      </c>
      <c r="K116" s="16">
        <f>_xll.PACF(Analysis!$E$15:$E$145,1,$G116)</f>
        <v>-0.3412449092641881</v>
      </c>
      <c r="L116" s="16">
        <f>_xll.PACFCI(Analysis!$E$15:$E$145,1,$G116,0.05,1)</f>
        <v>0.17124284842021767</v>
      </c>
      <c r="M116" s="16">
        <f>_xll.PACFCI(Analysis!$E$15:$E$145,1,$G116,0.05,0)</f>
        <v>-0.17124284842021767</v>
      </c>
    </row>
    <row r="117" spans="1:13" x14ac:dyDescent="0.25">
      <c r="A117" s="26">
        <v>21398</v>
      </c>
      <c r="B117" s="5">
        <v>505</v>
      </c>
      <c r="C117" s="19">
        <f t="shared" si="1"/>
        <v>6.2245584292753602</v>
      </c>
      <c r="D117" s="19">
        <v>2.8114301480839821E-2</v>
      </c>
      <c r="E117">
        <v>2.3822449399298229E-2</v>
      </c>
      <c r="G117" s="9">
        <v>2</v>
      </c>
      <c r="H117" s="16">
        <f>_xll.ACF(Analysis!$E$15:$E$145,1,$G117)</f>
        <v>0.10504674962356635</v>
      </c>
      <c r="I117" s="16">
        <f>_xll.ACFCI(Analysis!$E$15:$E$145,1,$G117,0.05,1)</f>
        <v>0.17124284842021767</v>
      </c>
      <c r="J117" s="16">
        <f>_xll.ACFCI(Analysis!$E$15:$E$145,1,$G117,0.05,0)</f>
        <v>-0.17124284842021767</v>
      </c>
      <c r="K117" s="16">
        <f>_xll.PACF(Analysis!$E$15:$E$145,1,$G117)</f>
        <v>-1.4443145433864327E-2</v>
      </c>
      <c r="L117" s="16">
        <f>_xll.PACFCI(Analysis!$E$15:$E$145,1,$G117,0.05,1)</f>
        <v>0.17124284842021767</v>
      </c>
      <c r="M117" s="16">
        <f>_xll.PACFCI(Analysis!$E$15:$E$145,1,$G117,0.05,0)</f>
        <v>-0.17124284842021767</v>
      </c>
    </row>
    <row r="118" spans="1:13" x14ac:dyDescent="0.25">
      <c r="A118" s="26">
        <v>21429</v>
      </c>
      <c r="B118" s="5">
        <v>404</v>
      </c>
      <c r="C118" s="19">
        <f t="shared" si="1"/>
        <v>6.0014148779611505</v>
      </c>
      <c r="D118" s="19">
        <v>-0.22314355131420971</v>
      </c>
      <c r="E118">
        <v>-7.82291716064627E-2</v>
      </c>
      <c r="G118" s="9">
        <v>3</v>
      </c>
      <c r="H118" s="16">
        <f>_xll.ACF(Analysis!$E$15:$E$145,1,$G118)</f>
        <v>-0.20213866415809523</v>
      </c>
      <c r="I118" s="16">
        <f>_xll.ACFCI(Analysis!$E$15:$E$145,1,$G118,0.05,1)</f>
        <v>0.19012822023137466</v>
      </c>
      <c r="J118" s="16">
        <f>_xll.ACFCI(Analysis!$E$15:$E$145,1,$G118,0.05,0)</f>
        <v>-0.19012822023137466</v>
      </c>
      <c r="K118" s="16">
        <f>_xll.PACF(Analysis!$E$15:$E$145,1,$G118)</f>
        <v>-0.19404580900113891</v>
      </c>
      <c r="L118" s="16">
        <f>_xll.PACFCI(Analysis!$E$15:$E$145,1,$G118,0.05,1)</f>
        <v>0.17124284842021767</v>
      </c>
      <c r="M118" s="16">
        <f>_xll.PACFCI(Analysis!$E$15:$E$145,1,$G118,0.05,0)</f>
        <v>-0.17124284842021767</v>
      </c>
    </row>
    <row r="119" spans="1:13" x14ac:dyDescent="0.25">
      <c r="A119" s="26">
        <v>21459</v>
      </c>
      <c r="B119" s="5">
        <v>359</v>
      </c>
      <c r="C119" s="19">
        <f t="shared" si="1"/>
        <v>5.8833223884882786</v>
      </c>
      <c r="D119" s="19">
        <v>-0.11809248947287188</v>
      </c>
      <c r="E119">
        <v>3.3997608541419311E-2</v>
      </c>
      <c r="G119" s="9">
        <v>4</v>
      </c>
      <c r="H119" s="16">
        <f>_xll.ACF(Analysis!$E$15:$E$145,1,$G119)</f>
        <v>2.1359228809792241E-2</v>
      </c>
      <c r="I119" s="16">
        <f>_xll.ACFCI(Analysis!$E$15:$E$145,1,$G119,0.05,1)</f>
        <v>0.1918226074410441</v>
      </c>
      <c r="J119" s="16">
        <f>_xll.ACFCI(Analysis!$E$15:$E$145,1,$G119,0.05,0)</f>
        <v>-0.1918226074410441</v>
      </c>
      <c r="K119" s="16">
        <f>_xll.PACF(Analysis!$E$15:$E$145,1,$G119)</f>
        <v>-0.12642553873167406</v>
      </c>
      <c r="L119" s="16">
        <f>_xll.PACFCI(Analysis!$E$15:$E$145,1,$G119,0.05,1)</f>
        <v>0.17124284842021767</v>
      </c>
      <c r="M119" s="16">
        <f>_xll.PACFCI(Analysis!$E$15:$E$145,1,$G119,0.05,0)</f>
        <v>-0.17124284842021767</v>
      </c>
    </row>
    <row r="120" spans="1:13" x14ac:dyDescent="0.25">
      <c r="A120" s="26">
        <v>21490</v>
      </c>
      <c r="B120" s="5">
        <v>310</v>
      </c>
      <c r="C120" s="19">
        <f t="shared" si="1"/>
        <v>5.7365722974791922</v>
      </c>
      <c r="D120" s="19">
        <v>-0.14675009100908643</v>
      </c>
      <c r="E120">
        <v>-1.7737087669638996E-2</v>
      </c>
      <c r="G120" s="9">
        <v>5</v>
      </c>
      <c r="H120" s="16">
        <f>_xll.ACF(Analysis!$E$15:$E$145,1,$G120)</f>
        <v>5.5654343478832795E-2</v>
      </c>
      <c r="I120" s="16">
        <f>_xll.ACFCI(Analysis!$E$15:$E$145,1,$G120,0.05,1)</f>
        <v>0.19797040579408959</v>
      </c>
      <c r="J120" s="16">
        <f>_xll.ACFCI(Analysis!$E$15:$E$145,1,$G120,0.05,0)</f>
        <v>-0.19797040579408959</v>
      </c>
      <c r="K120" s="16">
        <f>_xll.PACF(Analysis!$E$15:$E$145,1,$G120)</f>
        <v>3.344923989428563E-2</v>
      </c>
      <c r="L120" s="16">
        <f>_xll.PACFCI(Analysis!$E$15:$E$145,1,$G120,0.05,1)</f>
        <v>0.17124284842021767</v>
      </c>
      <c r="M120" s="16">
        <f>_xll.PACFCI(Analysis!$E$15:$E$145,1,$G120,0.05,0)</f>
        <v>-0.17124284842021767</v>
      </c>
    </row>
    <row r="121" spans="1:13" x14ac:dyDescent="0.25">
      <c r="A121" s="26">
        <v>21520</v>
      </c>
      <c r="B121" s="5">
        <v>337</v>
      </c>
      <c r="C121" s="19">
        <f t="shared" si="1"/>
        <v>5.8200829303523616</v>
      </c>
      <c r="D121" s="19">
        <v>8.3510632873169399E-2</v>
      </c>
      <c r="E121">
        <v>-1.3288750482622902E-2</v>
      </c>
      <c r="G121" s="9">
        <v>6</v>
      </c>
      <c r="H121" s="16">
        <f>_xll.ACF(Analysis!$E$15:$E$145,1,$G121)</f>
        <v>3.0803669593847033E-2</v>
      </c>
      <c r="I121" s="16">
        <f>_xll.ACFCI(Analysis!$E$15:$E$145,1,$G121,0.05,1)</f>
        <v>0.19803797077305052</v>
      </c>
      <c r="J121" s="16">
        <f>_xll.ACFCI(Analysis!$E$15:$E$145,1,$G121,0.05,0)</f>
        <v>-0.19803797077305052</v>
      </c>
      <c r="K121" s="16">
        <f>_xll.PACF(Analysis!$E$15:$E$145,1,$G121)</f>
        <v>3.4079253425243608E-2</v>
      </c>
      <c r="L121" s="16">
        <f>_xll.PACFCI(Analysis!$E$15:$E$145,1,$G121,0.05,1)</f>
        <v>0.17124284842021767</v>
      </c>
      <c r="M121" s="16">
        <f>_xll.PACFCI(Analysis!$E$15:$E$145,1,$G121,0.05,0)</f>
        <v>-0.17124284842021767</v>
      </c>
    </row>
    <row r="122" spans="1:13" x14ac:dyDescent="0.25">
      <c r="A122" s="26">
        <v>21551</v>
      </c>
      <c r="B122" s="5">
        <v>360</v>
      </c>
      <c r="C122" s="19">
        <f t="shared" si="1"/>
        <v>5.8861040314501558</v>
      </c>
      <c r="D122" s="19">
        <v>6.6021101097794244E-2</v>
      </c>
      <c r="E122">
        <v>5.4186643450790939E-2</v>
      </c>
      <c r="G122" s="9">
        <v>7</v>
      </c>
      <c r="H122" s="16">
        <f>_xll.ACF(Analysis!$E$15:$E$145,1,$G122)</f>
        <v>-5.557856953864608E-2</v>
      </c>
      <c r="I122" s="16">
        <f>_xll.ACFCI(Analysis!$E$15:$E$145,1,$G122,0.05,1)</f>
        <v>0.19849608367118965</v>
      </c>
      <c r="J122" s="16">
        <f>_xll.ACFCI(Analysis!$E$15:$E$145,1,$G122,0.05,0)</f>
        <v>-0.19849608367118965</v>
      </c>
      <c r="K122" s="16">
        <f>_xll.PACF(Analysis!$E$15:$E$145,1,$G122)</f>
        <v>-6.7230990781387556E-2</v>
      </c>
      <c r="L122" s="16">
        <f>_xll.PACFCI(Analysis!$E$15:$E$145,1,$G122,0.05,1)</f>
        <v>0.17124284842021767</v>
      </c>
      <c r="M122" s="16">
        <f>_xll.PACFCI(Analysis!$E$15:$E$145,1,$G122,0.05,0)</f>
        <v>-0.17124284842021767</v>
      </c>
    </row>
    <row r="123" spans="1:13" x14ac:dyDescent="0.25">
      <c r="A123" s="26">
        <v>21582</v>
      </c>
      <c r="B123" s="5">
        <v>342</v>
      </c>
      <c r="C123" s="19">
        <f t="shared" si="1"/>
        <v>5.8348107370626048</v>
      </c>
      <c r="D123" s="19">
        <v>-5.1293294387551036E-2</v>
      </c>
      <c r="E123">
        <v>1.5600940442479505E-2</v>
      </c>
      <c r="G123" s="9">
        <v>8</v>
      </c>
      <c r="H123" s="16">
        <f>_xll.ACF(Analysis!$E$15:$E$145,1,$G123)</f>
        <v>-7.6065777699968278E-4</v>
      </c>
      <c r="I123" s="16">
        <f>_xll.ACFCI(Analysis!$E$15:$E$145,1,$G123,0.05,1)</f>
        <v>0.19863621156328234</v>
      </c>
      <c r="J123" s="16">
        <f>_xll.ACFCI(Analysis!$E$15:$E$145,1,$G123,0.05,0)</f>
        <v>-0.19863621156328234</v>
      </c>
      <c r="K123" s="16">
        <f>_xll.PACF(Analysis!$E$15:$E$145,1,$G123)</f>
        <v>-2.6238551870191754E-2</v>
      </c>
      <c r="L123" s="16">
        <f>_xll.PACFCI(Analysis!$E$15:$E$145,1,$G123,0.05,1)</f>
        <v>0.17124284842021767</v>
      </c>
      <c r="M123" s="16">
        <f>_xll.PACFCI(Analysis!$E$15:$E$145,1,$G123,0.05,0)</f>
        <v>-0.17124284842021767</v>
      </c>
    </row>
    <row r="124" spans="1:13" x14ac:dyDescent="0.25">
      <c r="A124" s="26">
        <v>21610</v>
      </c>
      <c r="B124" s="5">
        <v>406</v>
      </c>
      <c r="C124" s="19">
        <f t="shared" si="1"/>
        <v>6.0063531596017325</v>
      </c>
      <c r="D124" s="19">
        <v>0.17154242253912777</v>
      </c>
      <c r="E124">
        <v>4.1949593493533222E-2</v>
      </c>
      <c r="G124" s="9">
        <v>9</v>
      </c>
      <c r="H124" s="16">
        <f>_xll.ACF(Analysis!$E$15:$E$145,1,$G124)</f>
        <v>0.17636868145641468</v>
      </c>
      <c r="I124" s="16">
        <f>_xll.ACFCI(Analysis!$E$15:$E$145,1,$G124,0.05,1)</f>
        <v>0.19909170648030569</v>
      </c>
      <c r="J124" s="16">
        <f>_xll.ACFCI(Analysis!$E$15:$E$145,1,$G124,0.05,0)</f>
        <v>-0.19909170648030569</v>
      </c>
      <c r="K124" s="16">
        <f>_xll.PACF(Analysis!$E$15:$E$145,1,$G124)</f>
        <v>0.24362273220461794</v>
      </c>
      <c r="L124" s="16">
        <f>_xll.PACFCI(Analysis!$E$15:$E$145,1,$G124,0.05,1)</f>
        <v>0.17124284842021767</v>
      </c>
      <c r="M124" s="16">
        <f>_xll.PACFCI(Analysis!$E$15:$E$145,1,$G124,0.05,0)</f>
        <v>-0.17124284842021767</v>
      </c>
    </row>
    <row r="125" spans="1:13" x14ac:dyDescent="0.25">
      <c r="A125" s="26">
        <v>21641</v>
      </c>
      <c r="B125" s="5">
        <v>396</v>
      </c>
      <c r="C125" s="19">
        <f t="shared" si="1"/>
        <v>5.9814142112544806</v>
      </c>
      <c r="D125" s="19">
        <v>-2.4938948347251966E-2</v>
      </c>
      <c r="E125">
        <v>1.4502783704045008E-2</v>
      </c>
      <c r="G125" s="9">
        <v>10</v>
      </c>
      <c r="H125" s="16">
        <f>_xll.ACF(Analysis!$E$15:$E$145,1,$G125)</f>
        <v>-7.6358191205427015E-2</v>
      </c>
      <c r="I125" s="16">
        <f>_xll.ACFCI(Analysis!$E$15:$E$145,1,$G125,0.05,1)</f>
        <v>0.19909179170201569</v>
      </c>
      <c r="J125" s="16">
        <f>_xll.ACFCI(Analysis!$E$15:$E$145,1,$G125,0.05,0)</f>
        <v>-0.19909179170201569</v>
      </c>
      <c r="K125" s="16">
        <f>_xll.PACF(Analysis!$E$15:$E$145,1,$G125)</f>
        <v>4.2074177230461647E-2</v>
      </c>
      <c r="L125" s="16">
        <f>_xll.PACFCI(Analysis!$E$15:$E$145,1,$G125,0.05,1)</f>
        <v>0.17124284842021767</v>
      </c>
      <c r="M125" s="16">
        <f>_xll.PACFCI(Analysis!$E$15:$E$145,1,$G125,0.05,0)</f>
        <v>-0.17124284842021767</v>
      </c>
    </row>
    <row r="126" spans="1:13" x14ac:dyDescent="0.25">
      <c r="A126" s="26">
        <v>21671</v>
      </c>
      <c r="B126" s="5">
        <v>420</v>
      </c>
      <c r="C126" s="19">
        <f t="shared" si="1"/>
        <v>6.0402547112774139</v>
      </c>
      <c r="D126" s="19">
        <v>5.8840500022933284E-2</v>
      </c>
      <c r="E126">
        <v>1.6640145532557327E-2</v>
      </c>
      <c r="G126" s="9">
        <v>11</v>
      </c>
      <c r="H126" s="16">
        <f>_xll.ACF(Analysis!$E$15:$E$145,1,$G126)</f>
        <v>6.4383939885986299E-2</v>
      </c>
      <c r="I126" s="16">
        <f>_xll.ACFCI(Analysis!$E$15:$E$145,1,$G126,0.05,1)</f>
        <v>0.20362182613027133</v>
      </c>
      <c r="J126" s="16">
        <f>_xll.ACFCI(Analysis!$E$15:$E$145,1,$G126,0.05,0)</f>
        <v>-0.20362182613027133</v>
      </c>
      <c r="K126" s="16">
        <f>_xll.PACF(Analysis!$E$15:$E$145,1,$G126)</f>
        <v>4.8880101592389147E-2</v>
      </c>
      <c r="L126" s="16">
        <f>_xll.PACFCI(Analysis!$E$15:$E$145,1,$G126,0.05,1)</f>
        <v>0.17124284842021767</v>
      </c>
      <c r="M126" s="16">
        <f>_xll.PACFCI(Analysis!$E$15:$E$145,1,$G126,0.05,0)</f>
        <v>-0.17124284842021767</v>
      </c>
    </row>
    <row r="127" spans="1:13" x14ac:dyDescent="0.25">
      <c r="A127" s="26">
        <v>21702</v>
      </c>
      <c r="B127" s="5">
        <v>472</v>
      </c>
      <c r="C127" s="19">
        <f t="shared" si="1"/>
        <v>6.156978985585555</v>
      </c>
      <c r="D127" s="19">
        <v>0.11672427430814114</v>
      </c>
      <c r="E127">
        <v>-6.4218922515692611E-2</v>
      </c>
      <c r="G127" s="9">
        <v>12</v>
      </c>
      <c r="H127" s="16">
        <f>_xll.ACF(Analysis!$E$15:$E$145,1,$G127)</f>
        <v>-0.38661285964991438</v>
      </c>
      <c r="I127" s="16">
        <f>_xll.ACFCI(Analysis!$E$15:$E$145,1,$G127,0.05,1)</f>
        <v>0.20445977810457638</v>
      </c>
      <c r="J127" s="16">
        <f>_xll.ACFCI(Analysis!$E$15:$E$145,1,$G127,0.05,0)</f>
        <v>-0.20445977810457638</v>
      </c>
      <c r="K127" s="16">
        <f>_xll.PACF(Analysis!$E$15:$E$145,1,$G127)</f>
        <v>-0.38338817208047254</v>
      </c>
      <c r="L127" s="16">
        <f>_xll.PACFCI(Analysis!$E$15:$E$145,1,$G127,0.05,1)</f>
        <v>0.17124284842021767</v>
      </c>
      <c r="M127" s="16">
        <f>_xll.PACFCI(Analysis!$E$15:$E$145,1,$G127,0.05,0)</f>
        <v>-0.17124284842021767</v>
      </c>
    </row>
    <row r="128" spans="1:13" x14ac:dyDescent="0.25">
      <c r="A128" s="26">
        <v>21732</v>
      </c>
      <c r="B128" s="5">
        <v>548</v>
      </c>
      <c r="C128" s="19">
        <f t="shared" si="1"/>
        <v>6.3062752869480159</v>
      </c>
      <c r="D128" s="19">
        <v>0.14929630136246086</v>
      </c>
      <c r="E128">
        <v>2.8198204656624704E-2</v>
      </c>
      <c r="G128" s="9">
        <v>13</v>
      </c>
      <c r="H128" s="16">
        <f>_xll.ACF(Analysis!$E$15:$E$145,1,$G128)</f>
        <v>0.15160201212191216</v>
      </c>
      <c r="I128" s="16">
        <f>_xll.ACFCI(Analysis!$E$15:$E$145,1,$G128,0.05,1)</f>
        <v>0.20505344393363376</v>
      </c>
      <c r="J128" s="16">
        <f>_xll.ACFCI(Analysis!$E$15:$E$145,1,$G128,0.05,0)</f>
        <v>-0.20505344393363376</v>
      </c>
      <c r="K128" s="16">
        <f>_xll.PACF(Analysis!$E$15:$E$145,1,$G128)</f>
        <v>-0.1386419562003684</v>
      </c>
      <c r="L128" s="16">
        <f>_xll.PACFCI(Analysis!$E$15:$E$145,1,$G128,0.05,1)</f>
        <v>0.17124284842021767</v>
      </c>
      <c r="M128" s="16">
        <f>_xll.PACFCI(Analysis!$E$15:$E$145,1,$G128,0.05,0)</f>
        <v>-0.17124284842021767</v>
      </c>
    </row>
    <row r="129" spans="1:13" x14ac:dyDescent="0.25">
      <c r="A129" s="26">
        <v>21763</v>
      </c>
      <c r="B129" s="5">
        <v>559</v>
      </c>
      <c r="C129" s="19">
        <f t="shared" si="1"/>
        <v>6.3261494731550991</v>
      </c>
      <c r="D129" s="19">
        <v>1.9874186207083255E-2</v>
      </c>
      <c r="E129">
        <v>-8.2401152737565653E-3</v>
      </c>
      <c r="G129" s="9">
        <v>14</v>
      </c>
      <c r="H129" s="16">
        <f>_xll.ACF(Analysis!$E$15:$E$145,1,$G129)</f>
        <v>-5.7606797983951498E-2</v>
      </c>
      <c r="I129" s="16">
        <f>_xll.ACFCI(Analysis!$E$15:$E$145,1,$G129,0.05,1)</f>
        <v>0.22541747074248869</v>
      </c>
      <c r="J129" s="16">
        <f>_xll.ACFCI(Analysis!$E$15:$E$145,1,$G129,0.05,0)</f>
        <v>-0.22541747074248869</v>
      </c>
      <c r="K129" s="16">
        <f>_xll.PACF(Analysis!$E$15:$E$145,1,$G129)</f>
        <v>-7.9431484838139499E-2</v>
      </c>
      <c r="L129" s="16">
        <f>_xll.PACFCI(Analysis!$E$15:$E$145,1,$G129,0.05,1)</f>
        <v>0.17124284842021767</v>
      </c>
      <c r="M129" s="16">
        <f>_xll.PACFCI(Analysis!$E$15:$E$145,1,$G129,0.05,0)</f>
        <v>-0.17124284842021767</v>
      </c>
    </row>
    <row r="130" spans="1:13" x14ac:dyDescent="0.25">
      <c r="A130" s="26">
        <v>21794</v>
      </c>
      <c r="B130" s="5">
        <v>463</v>
      </c>
      <c r="C130" s="19">
        <f t="shared" si="1"/>
        <v>6.1377270540862341</v>
      </c>
      <c r="D130" s="19">
        <v>-0.18842241906886503</v>
      </c>
      <c r="E130">
        <v>3.4721132245344677E-2</v>
      </c>
      <c r="G130" s="9">
        <v>15</v>
      </c>
      <c r="H130" s="16">
        <f>_xll.ACF(Analysis!$E$15:$E$145,1,$G130)</f>
        <v>0.14956522021613727</v>
      </c>
      <c r="I130" s="16">
        <f>_xll.ACFCI(Analysis!$E$15:$E$145,1,$G130,0.05,1)</f>
        <v>0.22838773670047005</v>
      </c>
      <c r="J130" s="16">
        <f>_xll.ACFCI(Analysis!$E$15:$E$145,1,$G130,0.05,0)</f>
        <v>-0.22838773670047005</v>
      </c>
      <c r="K130" s="16">
        <f>_xll.PACF(Analysis!$E$15:$E$145,1,$G130)</f>
        <v>2.237980790604483E-3</v>
      </c>
      <c r="L130" s="16">
        <f>_xll.PACFCI(Analysis!$E$15:$E$145,1,$G130,0.05,1)</f>
        <v>0.17124284842021767</v>
      </c>
      <c r="M130" s="16">
        <f>_xll.PACFCI(Analysis!$E$15:$E$145,1,$G130,0.05,0)</f>
        <v>-0.17124284842021767</v>
      </c>
    </row>
    <row r="131" spans="1:13" x14ac:dyDescent="0.25">
      <c r="A131" s="26">
        <v>21824</v>
      </c>
      <c r="B131" s="5">
        <v>407</v>
      </c>
      <c r="C131" s="19">
        <f t="shared" ref="C131:C145" si="2">LN(B131)</f>
        <v>6.0088131854425946</v>
      </c>
      <c r="D131" s="19">
        <v>-0.12891386864363952</v>
      </c>
      <c r="E131">
        <v>-1.0821379170767642E-2</v>
      </c>
      <c r="G131" s="9">
        <v>16</v>
      </c>
      <c r="H131" s="16">
        <f>_xll.ACF(Analysis!$E$15:$E$145,1,$G131)</f>
        <v>-0.13894218194899749</v>
      </c>
      <c r="I131" s="16">
        <f>_xll.ACFCI(Analysis!$E$15:$E$145,1,$G131,0.05,1)</f>
        <v>0.22881342824693895</v>
      </c>
      <c r="J131" s="16">
        <f>_xll.ACFCI(Analysis!$E$15:$E$145,1,$G131,0.05,0)</f>
        <v>-0.22881342824693895</v>
      </c>
      <c r="K131" s="16">
        <f>_xll.PACF(Analysis!$E$15:$E$145,1,$G131)</f>
        <v>-0.16920367268996617</v>
      </c>
      <c r="L131" s="16">
        <f>_xll.PACFCI(Analysis!$E$15:$E$145,1,$G131,0.05,1)</f>
        <v>0.17124284842021767</v>
      </c>
      <c r="M131" s="16">
        <f>_xll.PACFCI(Analysis!$E$15:$E$145,1,$G131,0.05,0)</f>
        <v>-0.17124284842021767</v>
      </c>
    </row>
    <row r="132" spans="1:13" x14ac:dyDescent="0.25">
      <c r="A132" s="26">
        <v>21855</v>
      </c>
      <c r="B132" s="5">
        <v>362</v>
      </c>
      <c r="C132" s="19">
        <f t="shared" si="2"/>
        <v>5.8916442118257715</v>
      </c>
      <c r="D132" s="19">
        <v>-0.1171689736168231</v>
      </c>
      <c r="E132">
        <v>2.9581117392263323E-2</v>
      </c>
      <c r="G132" s="9">
        <v>17</v>
      </c>
      <c r="H132" s="16">
        <f>_xll.ACF(Analysis!$E$15:$E$145,1,$G132)</f>
        <v>7.0482338464536665E-2</v>
      </c>
      <c r="I132" s="16">
        <f>_xll.ACFCI(Analysis!$E$15:$E$145,1,$G132,0.05,1)</f>
        <v>0.23166253776717954</v>
      </c>
      <c r="J132" s="16">
        <f>_xll.ACFCI(Analysis!$E$15:$E$145,1,$G132,0.05,0)</f>
        <v>-0.23166253776717954</v>
      </c>
      <c r="K132" s="16">
        <f>_xll.PACF(Analysis!$E$15:$E$145,1,$G132)</f>
        <v>1.7543754987600926E-2</v>
      </c>
      <c r="L132" s="16">
        <f>_xll.PACFCI(Analysis!$E$15:$E$145,1,$G132,0.05,1)</f>
        <v>0.17124284842021767</v>
      </c>
      <c r="M132" s="16">
        <f>_xll.PACFCI(Analysis!$E$15:$E$145,1,$G132,0.05,0)</f>
        <v>-0.17124284842021767</v>
      </c>
    </row>
    <row r="133" spans="1:13" x14ac:dyDescent="0.25">
      <c r="A133" s="26">
        <v>21885</v>
      </c>
      <c r="B133" s="5">
        <v>405</v>
      </c>
      <c r="C133" s="19">
        <f t="shared" si="2"/>
        <v>6.0038870671065387</v>
      </c>
      <c r="D133" s="19">
        <v>0.11224285528076727</v>
      </c>
      <c r="E133">
        <v>2.8732222407597874E-2</v>
      </c>
      <c r="G133" s="9">
        <v>18</v>
      </c>
      <c r="H133" s="16">
        <f>_xll.ACF(Analysis!$E$15:$E$145,1,$G133)</f>
        <v>1.5630724062793873E-2</v>
      </c>
      <c r="I133" s="16">
        <f>_xll.ACFCI(Analysis!$E$15:$E$145,1,$G133,0.05,1)</f>
        <v>0.23409342430552316</v>
      </c>
      <c r="J133" s="16">
        <f>_xll.ACFCI(Analysis!$E$15:$E$145,1,$G133,0.05,0)</f>
        <v>-0.23409342430552316</v>
      </c>
      <c r="K133" s="16">
        <f>_xll.PACF(Analysis!$E$15:$E$145,1,$G133)</f>
        <v>0.12482789070782443</v>
      </c>
      <c r="L133" s="16">
        <f>_xll.PACFCI(Analysis!$E$15:$E$145,1,$G133,0.05,1)</f>
        <v>0.17124284842021767</v>
      </c>
      <c r="M133" s="16">
        <f>_xll.PACFCI(Analysis!$E$15:$E$145,1,$G133,0.05,0)</f>
        <v>-0.17124284842021767</v>
      </c>
    </row>
    <row r="134" spans="1:13" x14ac:dyDescent="0.25">
      <c r="A134" s="26">
        <v>21916</v>
      </c>
      <c r="B134" s="5">
        <v>417</v>
      </c>
      <c r="C134" s="19">
        <f t="shared" si="2"/>
        <v>6.0330862217988015</v>
      </c>
      <c r="D134" s="19">
        <v>2.9199154692262752E-2</v>
      </c>
      <c r="E134">
        <v>-3.6821946405531492E-2</v>
      </c>
      <c r="G134" s="9">
        <v>19</v>
      </c>
      <c r="H134" s="16">
        <f>_xll.ACF(Analysis!$E$15:$E$145,1,$G134)</f>
        <v>-1.0610612986559293E-2</v>
      </c>
      <c r="I134" s="16">
        <f>_xll.ACFCI(Analysis!$E$15:$E$145,1,$G134,0.05,1)</f>
        <v>0.23471489432436815</v>
      </c>
      <c r="J134" s="16">
        <f>_xll.ACFCI(Analysis!$E$15:$E$145,1,$G134,0.05,0)</f>
        <v>-0.23471489432436815</v>
      </c>
      <c r="K134" s="16">
        <f>_xll.PACF(Analysis!$E$15:$E$145,1,$G134)</f>
        <v>-1.9489976549749963E-2</v>
      </c>
      <c r="L134" s="16">
        <f>_xll.PACFCI(Analysis!$E$15:$E$145,1,$G134,0.05,1)</f>
        <v>0.17124284842021767</v>
      </c>
      <c r="M134" s="16">
        <f>_xll.PACFCI(Analysis!$E$15:$E$145,1,$G134,0.05,0)</f>
        <v>-0.17124284842021767</v>
      </c>
    </row>
    <row r="135" spans="1:13" x14ac:dyDescent="0.25">
      <c r="A135" s="26">
        <v>21947</v>
      </c>
      <c r="B135" s="5">
        <v>391</v>
      </c>
      <c r="C135" s="19">
        <f t="shared" si="2"/>
        <v>5.9687075599853658</v>
      </c>
      <c r="D135" s="19">
        <v>-6.4378661813435656E-2</v>
      </c>
      <c r="E135">
        <v>-1.308536742588462E-2</v>
      </c>
      <c r="G135" s="9">
        <v>20</v>
      </c>
      <c r="H135" s="16">
        <f>_xll.ACF(Analysis!$E$15:$E$145,1,$G135)</f>
        <v>-0.11672859779698257</v>
      </c>
      <c r="I135" s="16">
        <f>_xll.ACFCI(Analysis!$E$15:$E$145,1,$G135,0.05,1)</f>
        <v>0.23474541640904134</v>
      </c>
      <c r="J135" s="16">
        <f>_xll.ACFCI(Analysis!$E$15:$E$145,1,$G135,0.05,0)</f>
        <v>-0.23474541640904134</v>
      </c>
      <c r="K135" s="16">
        <f>_xll.PACF(Analysis!$E$15:$E$145,1,$G135)</f>
        <v>-0.2046693588159503</v>
      </c>
      <c r="L135" s="16">
        <f>_xll.PACFCI(Analysis!$E$15:$E$145,1,$G135,0.05,1)</f>
        <v>0.17124284842021767</v>
      </c>
      <c r="M135" s="16">
        <f>_xll.PACFCI(Analysis!$E$15:$E$145,1,$G135,0.05,0)</f>
        <v>-0.17124284842021767</v>
      </c>
    </row>
    <row r="136" spans="1:13" x14ac:dyDescent="0.25">
      <c r="A136" s="26">
        <v>21976</v>
      </c>
      <c r="B136" s="5">
        <v>419</v>
      </c>
      <c r="C136" s="19">
        <f t="shared" si="2"/>
        <v>6.0378709199221374</v>
      </c>
      <c r="D136" s="19">
        <v>6.9163359936771585E-2</v>
      </c>
      <c r="E136">
        <v>-0.10237906260235619</v>
      </c>
      <c r="G136" s="9">
        <v>21</v>
      </c>
      <c r="H136" s="16">
        <f>_xll.ACF(Analysis!$E$15:$E$145,1,$G136)</f>
        <v>3.8554202262255068E-2</v>
      </c>
      <c r="I136" s="16">
        <f>_xll.ACFCI(Analysis!$E$15:$E$145,1,$G136,0.05,1)</f>
        <v>0.23475947998310942</v>
      </c>
      <c r="J136" s="16">
        <f>_xll.ACFCI(Analysis!$E$15:$E$145,1,$G136,0.05,0)</f>
        <v>-0.23475947998310942</v>
      </c>
      <c r="K136" s="16">
        <f>_xll.PACF(Analysis!$E$15:$E$145,1,$G136)</f>
        <v>0.14179708418575387</v>
      </c>
      <c r="L136" s="16">
        <f>_xll.PACFCI(Analysis!$E$15:$E$145,1,$G136,0.05,1)</f>
        <v>0.17124284842021767</v>
      </c>
      <c r="M136" s="16">
        <f>_xll.PACFCI(Analysis!$E$15:$E$145,1,$G136,0.05,0)</f>
        <v>-0.17124284842021767</v>
      </c>
    </row>
    <row r="137" spans="1:13" x14ac:dyDescent="0.25">
      <c r="A137" s="26">
        <v>22007</v>
      </c>
      <c r="B137" s="5">
        <v>461</v>
      </c>
      <c r="C137" s="19">
        <f t="shared" si="2"/>
        <v>6.1333980429966486</v>
      </c>
      <c r="D137" s="19">
        <v>9.5527123074511167E-2</v>
      </c>
      <c r="E137">
        <v>0.12046607142176313</v>
      </c>
      <c r="G137" s="9">
        <v>22</v>
      </c>
      <c r="H137" s="16">
        <f>_xll.ACF(Analysis!$E$15:$E$145,1,$G137)</f>
        <v>-9.1364527563348438E-2</v>
      </c>
      <c r="I137" s="16">
        <f>_xll.ACFCI(Analysis!$E$15:$E$145,1,$G137,0.05,1)</f>
        <v>0.23645534185761705</v>
      </c>
      <c r="J137" s="16">
        <f>_xll.ACFCI(Analysis!$E$15:$E$145,1,$G137,0.05,0)</f>
        <v>-0.23645534185761705</v>
      </c>
      <c r="K137" s="16">
        <f>_xll.PACF(Analysis!$E$15:$E$145,1,$G137)</f>
        <v>-0.13656582867326481</v>
      </c>
      <c r="L137" s="16">
        <f>_xll.PACFCI(Analysis!$E$15:$E$145,1,$G137,0.05,1)</f>
        <v>0.17124284842021767</v>
      </c>
      <c r="M137" s="16">
        <f>_xll.PACFCI(Analysis!$E$15:$E$145,1,$G137,0.05,0)</f>
        <v>-0.17124284842021767</v>
      </c>
    </row>
    <row r="138" spans="1:13" x14ac:dyDescent="0.25">
      <c r="A138" s="26">
        <v>22037</v>
      </c>
      <c r="B138" s="5">
        <v>472</v>
      </c>
      <c r="C138" s="19">
        <f t="shared" si="2"/>
        <v>6.156978985585555</v>
      </c>
      <c r="D138" s="19">
        <v>2.3580942588906417E-2</v>
      </c>
      <c r="E138">
        <v>-3.5259557434026867E-2</v>
      </c>
      <c r="G138" s="9">
        <v>23</v>
      </c>
      <c r="H138" s="16">
        <f>_xll.ACF(Analysis!$E$15:$E$145,1,$G138)</f>
        <v>0.22326890551139225</v>
      </c>
      <c r="I138" s="16">
        <f>_xll.ACFCI(Analysis!$E$15:$E$145,1,$G138,0.05,1)</f>
        <v>0.23663960989533614</v>
      </c>
      <c r="J138" s="16">
        <f>_xll.ACFCI(Analysis!$E$15:$E$145,1,$G138,0.05,0)</f>
        <v>-0.23663960989533614</v>
      </c>
      <c r="K138" s="16">
        <f>_xll.PACF(Analysis!$E$15:$E$145,1,$G138)</f>
        <v>0.1840067949737296</v>
      </c>
      <c r="L138" s="16">
        <f>_xll.PACFCI(Analysis!$E$15:$E$145,1,$G138,0.05,1)</f>
        <v>0.17124284842021767</v>
      </c>
      <c r="M138" s="16">
        <f>_xll.PACFCI(Analysis!$E$15:$E$145,1,$G138,0.05,0)</f>
        <v>-0.17124284842021767</v>
      </c>
    </row>
    <row r="139" spans="1:13" x14ac:dyDescent="0.25">
      <c r="A139" s="26">
        <v>22068</v>
      </c>
      <c r="B139" s="5">
        <v>535</v>
      </c>
      <c r="C139" s="19">
        <f t="shared" si="2"/>
        <v>6.2822667468960063</v>
      </c>
      <c r="D139" s="19">
        <v>0.12528776131045127</v>
      </c>
      <c r="E139">
        <v>8.5634870023101328E-3</v>
      </c>
      <c r="G139" s="9">
        <v>24</v>
      </c>
      <c r="H139" s="16">
        <f>_xll.ACF(Analysis!$E$15:$E$145,1,$G139)</f>
        <v>-1.8418167386413983E-2</v>
      </c>
      <c r="I139" s="16">
        <f>_xll.ACFCI(Analysis!$E$15:$E$145,1,$G139,0.05,1)</f>
        <v>0.23767176880153329</v>
      </c>
      <c r="J139" s="16">
        <f>_xll.ACFCI(Analysis!$E$15:$E$145,1,$G139,0.05,0)</f>
        <v>-0.23767176880153329</v>
      </c>
      <c r="K139" s="16">
        <f>_xll.PACF(Analysis!$E$15:$E$145,1,$G139)</f>
        <v>-9.6670003058410447E-2</v>
      </c>
      <c r="L139" s="16">
        <f>_xll.PACFCI(Analysis!$E$15:$E$145,1,$G139,0.05,1)</f>
        <v>0.17124284842021767</v>
      </c>
      <c r="M139" s="16">
        <f>_xll.PACFCI(Analysis!$E$15:$E$145,1,$G139,0.05,0)</f>
        <v>-0.17124284842021767</v>
      </c>
    </row>
    <row r="140" spans="1:13" x14ac:dyDescent="0.25">
      <c r="A140" s="26">
        <v>22098</v>
      </c>
      <c r="B140" s="5">
        <v>622</v>
      </c>
      <c r="C140" s="19">
        <f t="shared" si="2"/>
        <v>6.4329400927391793</v>
      </c>
      <c r="D140" s="19">
        <v>0.15067334584317305</v>
      </c>
      <c r="E140">
        <v>1.3770444807121862E-3</v>
      </c>
    </row>
    <row r="141" spans="1:13" x14ac:dyDescent="0.25">
      <c r="A141" s="26">
        <v>22129</v>
      </c>
      <c r="B141" s="5">
        <v>606</v>
      </c>
      <c r="C141" s="19">
        <f t="shared" si="2"/>
        <v>6.4068799860693142</v>
      </c>
      <c r="D141" s="19">
        <v>-2.6060106669865135E-2</v>
      </c>
      <c r="E141">
        <v>-4.593429287694839E-2</v>
      </c>
    </row>
    <row r="142" spans="1:13" x14ac:dyDescent="0.25">
      <c r="A142" s="26">
        <v>22160</v>
      </c>
      <c r="B142" s="5">
        <v>508</v>
      </c>
      <c r="C142" s="19">
        <f t="shared" si="2"/>
        <v>6.230481447578482</v>
      </c>
      <c r="D142" s="19">
        <v>-0.1763985384908322</v>
      </c>
      <c r="E142">
        <v>1.2023880578032831E-2</v>
      </c>
    </row>
    <row r="143" spans="1:13" x14ac:dyDescent="0.25">
      <c r="A143" s="26">
        <v>22190</v>
      </c>
      <c r="B143" s="5">
        <v>461</v>
      </c>
      <c r="C143" s="19">
        <f t="shared" si="2"/>
        <v>6.1333980429966486</v>
      </c>
      <c r="D143" s="19">
        <v>-9.7083404581833399E-2</v>
      </c>
      <c r="E143">
        <v>3.1830464061806119E-2</v>
      </c>
    </row>
    <row r="144" spans="1:13" x14ac:dyDescent="0.25">
      <c r="A144" s="26">
        <v>22221</v>
      </c>
      <c r="B144" s="5">
        <v>390</v>
      </c>
      <c r="C144" s="19">
        <f t="shared" si="2"/>
        <v>5.9661467391236922</v>
      </c>
      <c r="D144" s="19">
        <v>-0.16725130387295639</v>
      </c>
      <c r="E144">
        <v>-5.0082330256133289E-2</v>
      </c>
    </row>
    <row r="145" spans="1:5" x14ac:dyDescent="0.25">
      <c r="A145" s="26">
        <v>22251</v>
      </c>
      <c r="B145" s="5">
        <v>432</v>
      </c>
      <c r="C145" s="19">
        <f t="shared" si="2"/>
        <v>6.0684255882441107</v>
      </c>
      <c r="D145" s="19">
        <v>0.10227884912041851</v>
      </c>
      <c r="E145">
        <v>-9.9640061603487595E-3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"/>
  <sheetViews>
    <sheetView topLeftCell="B1" zoomScale="80" zoomScaleNormal="80" workbookViewId="0">
      <pane ySplit="1" topLeftCell="A2" activePane="bottomLeft" state="frozen"/>
      <selection pane="bottomLeft" activeCell="X54" sqref="X54"/>
    </sheetView>
  </sheetViews>
  <sheetFormatPr defaultRowHeight="15" x14ac:dyDescent="0.25"/>
  <cols>
    <col min="1" max="1" width="12.5703125" style="5" customWidth="1"/>
    <col min="2" max="2" width="10.7109375" style="5" customWidth="1"/>
    <col min="3" max="3" width="9.140625" style="5"/>
  </cols>
  <sheetData>
    <row r="1" spans="1:24" ht="15.75" thickBot="1" x14ac:dyDescent="0.3">
      <c r="A1" s="27" t="s">
        <v>51</v>
      </c>
      <c r="B1" s="27" t="s">
        <v>52</v>
      </c>
      <c r="C1" s="27" t="s">
        <v>60</v>
      </c>
      <c r="D1" s="31" t="s">
        <v>63</v>
      </c>
    </row>
    <row r="2" spans="1:24" x14ac:dyDescent="0.25">
      <c r="A2" s="26">
        <v>17899</v>
      </c>
      <c r="B2" s="5">
        <v>112</v>
      </c>
      <c r="C2" s="19">
        <f>LN(B2)</f>
        <v>4.7184988712950942</v>
      </c>
      <c r="D2" t="e">
        <f t="array" ref="D2:D145">EXP(_xll.AIRLINE_MEAN($C$2:$C$145,1,$H$25,$H$28,$H$29,$H$26,$H$27))</f>
        <v>#N/A</v>
      </c>
    </row>
    <row r="3" spans="1:24" x14ac:dyDescent="0.25">
      <c r="A3" s="26">
        <v>17930</v>
      </c>
      <c r="B3" s="5">
        <v>118</v>
      </c>
      <c r="C3" s="19">
        <f t="shared" ref="C3:C66" si="0">LN(B3)</f>
        <v>4.7706846244656651</v>
      </c>
      <c r="D3" t="e">
        <v>#N/A</v>
      </c>
    </row>
    <row r="4" spans="1:24" x14ac:dyDescent="0.25">
      <c r="A4" s="26">
        <v>17958</v>
      </c>
      <c r="B4" s="5">
        <v>132</v>
      </c>
      <c r="C4" s="19">
        <f t="shared" si="0"/>
        <v>4.8828019225863706</v>
      </c>
      <c r="D4" t="e">
        <v>#N/A</v>
      </c>
      <c r="X4" s="30"/>
    </row>
    <row r="5" spans="1:24" x14ac:dyDescent="0.25">
      <c r="A5" s="26">
        <v>17989</v>
      </c>
      <c r="B5" s="5">
        <v>129</v>
      </c>
      <c r="C5" s="19">
        <f t="shared" si="0"/>
        <v>4.8598124043616719</v>
      </c>
      <c r="D5" t="e">
        <v>#N/A</v>
      </c>
      <c r="X5" s="30"/>
    </row>
    <row r="6" spans="1:24" x14ac:dyDescent="0.25">
      <c r="A6" s="26">
        <v>18019</v>
      </c>
      <c r="B6" s="5">
        <v>121</v>
      </c>
      <c r="C6" s="19">
        <f t="shared" si="0"/>
        <v>4.7957905455967413</v>
      </c>
      <c r="D6" t="e">
        <v>#N/A</v>
      </c>
    </row>
    <row r="7" spans="1:24" x14ac:dyDescent="0.25">
      <c r="A7" s="26">
        <v>18050</v>
      </c>
      <c r="B7" s="5">
        <v>135</v>
      </c>
      <c r="C7" s="19">
        <f t="shared" si="0"/>
        <v>4.9052747784384296</v>
      </c>
      <c r="D7" t="e">
        <v>#N/A</v>
      </c>
    </row>
    <row r="8" spans="1:24" x14ac:dyDescent="0.25">
      <c r="A8" s="26">
        <v>18080</v>
      </c>
      <c r="B8" s="5">
        <v>148</v>
      </c>
      <c r="C8" s="19">
        <f t="shared" si="0"/>
        <v>4.9972122737641147</v>
      </c>
      <c r="D8" t="e">
        <v>#N/A</v>
      </c>
    </row>
    <row r="9" spans="1:24" x14ac:dyDescent="0.25">
      <c r="A9" s="26">
        <v>18111</v>
      </c>
      <c r="B9" s="5">
        <v>148</v>
      </c>
      <c r="C9" s="19">
        <f t="shared" si="0"/>
        <v>4.9972122737641147</v>
      </c>
      <c r="D9" t="e">
        <v>#N/A</v>
      </c>
    </row>
    <row r="10" spans="1:24" x14ac:dyDescent="0.25">
      <c r="A10" s="26">
        <v>18142</v>
      </c>
      <c r="B10" s="5">
        <v>136</v>
      </c>
      <c r="C10" s="19">
        <f t="shared" si="0"/>
        <v>4.9126548857360524</v>
      </c>
      <c r="D10" t="e">
        <v>#N/A</v>
      </c>
    </row>
    <row r="11" spans="1:24" x14ac:dyDescent="0.25">
      <c r="A11" s="26">
        <v>18172</v>
      </c>
      <c r="B11" s="5">
        <v>119</v>
      </c>
      <c r="C11" s="19">
        <f t="shared" si="0"/>
        <v>4.7791234931115296</v>
      </c>
      <c r="D11" t="e">
        <v>#N/A</v>
      </c>
    </row>
    <row r="12" spans="1:24" x14ac:dyDescent="0.25">
      <c r="A12" s="26">
        <v>18203</v>
      </c>
      <c r="B12" s="5">
        <v>104</v>
      </c>
      <c r="C12" s="19">
        <f t="shared" si="0"/>
        <v>4.6443908991413725</v>
      </c>
      <c r="D12" t="e">
        <v>#N/A</v>
      </c>
    </row>
    <row r="13" spans="1:24" x14ac:dyDescent="0.25">
      <c r="A13" s="26">
        <v>18233</v>
      </c>
      <c r="B13" s="5">
        <v>118</v>
      </c>
      <c r="C13" s="19">
        <f t="shared" si="0"/>
        <v>4.7706846244656651</v>
      </c>
      <c r="D13" t="e">
        <v>#N/A</v>
      </c>
    </row>
    <row r="14" spans="1:24" x14ac:dyDescent="0.25">
      <c r="A14" s="26">
        <v>18264</v>
      </c>
      <c r="B14" s="5">
        <v>115</v>
      </c>
      <c r="C14" s="19">
        <f t="shared" si="0"/>
        <v>4.7449321283632502</v>
      </c>
      <c r="D14" t="e">
        <v>#N/A</v>
      </c>
    </row>
    <row r="15" spans="1:24" x14ac:dyDescent="0.25">
      <c r="A15" s="26">
        <v>18295</v>
      </c>
      <c r="B15" s="5">
        <v>126</v>
      </c>
      <c r="C15" s="19">
        <f t="shared" si="0"/>
        <v>4.836281906951478</v>
      </c>
      <c r="D15" s="20">
        <v>121.93313724171168</v>
      </c>
    </row>
    <row r="16" spans="1:24" x14ac:dyDescent="0.25">
      <c r="A16" s="26">
        <v>18323</v>
      </c>
      <c r="B16" s="5">
        <v>141</v>
      </c>
      <c r="C16" s="19">
        <f t="shared" si="0"/>
        <v>4.9487598903781684</v>
      </c>
      <c r="D16" s="20">
        <v>139.24381654671708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</row>
    <row r="17" spans="1:23" x14ac:dyDescent="0.25">
      <c r="A17" s="26">
        <v>18354</v>
      </c>
      <c r="B17" s="5">
        <v>135</v>
      </c>
      <c r="C17" s="19">
        <f t="shared" si="0"/>
        <v>4.9052747784384296</v>
      </c>
      <c r="D17" s="20">
        <v>136.878241318421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</row>
    <row r="18" spans="1:23" x14ac:dyDescent="0.25">
      <c r="A18" s="26">
        <v>18384</v>
      </c>
      <c r="B18" s="5">
        <v>125</v>
      </c>
      <c r="C18" s="19">
        <f t="shared" si="0"/>
        <v>4.8283137373023015</v>
      </c>
      <c r="D18" s="20">
        <v>127.2503162912528</v>
      </c>
    </row>
    <row r="19" spans="1:23" x14ac:dyDescent="0.25">
      <c r="A19" s="26">
        <v>18415</v>
      </c>
      <c r="B19" s="5">
        <v>149</v>
      </c>
      <c r="C19" s="19">
        <f t="shared" si="0"/>
        <v>5.0039463059454592</v>
      </c>
      <c r="D19" s="20">
        <v>141.33936487121844</v>
      </c>
    </row>
    <row r="20" spans="1:23" x14ac:dyDescent="0.25">
      <c r="A20" s="26">
        <v>18445</v>
      </c>
      <c r="B20" s="5">
        <v>170</v>
      </c>
      <c r="C20" s="19">
        <f t="shared" si="0"/>
        <v>5.1357984370502621</v>
      </c>
      <c r="D20" s="20">
        <v>160.38060426965765</v>
      </c>
    </row>
    <row r="21" spans="1:23" x14ac:dyDescent="0.25">
      <c r="A21" s="26">
        <v>18476</v>
      </c>
      <c r="B21" s="5">
        <v>170</v>
      </c>
      <c r="C21" s="19">
        <f t="shared" si="0"/>
        <v>5.1357984370502621</v>
      </c>
      <c r="D21" s="20">
        <v>165.96370000538971</v>
      </c>
    </row>
    <row r="22" spans="1:23" x14ac:dyDescent="0.25">
      <c r="A22" s="26">
        <v>18507</v>
      </c>
      <c r="B22" s="5">
        <v>158</v>
      </c>
      <c r="C22" s="19">
        <f t="shared" si="0"/>
        <v>5.0625950330269669</v>
      </c>
      <c r="D22" s="20">
        <v>154.84976397175251</v>
      </c>
    </row>
    <row r="23" spans="1:23" ht="15.75" thickBot="1" x14ac:dyDescent="0.3">
      <c r="A23" s="26">
        <v>18537</v>
      </c>
      <c r="B23" s="5">
        <v>133</v>
      </c>
      <c r="C23" s="19">
        <f t="shared" si="0"/>
        <v>4.8903491282217537</v>
      </c>
      <c r="D23" s="20">
        <v>136.6767194109388</v>
      </c>
      <c r="F23" s="1" t="s">
        <v>25</v>
      </c>
      <c r="J23" s="1" t="s">
        <v>33</v>
      </c>
      <c r="O23" s="1" t="s">
        <v>37</v>
      </c>
    </row>
    <row r="24" spans="1:23" ht="15.75" thickBot="1" x14ac:dyDescent="0.3">
      <c r="A24" s="26">
        <v>18568</v>
      </c>
      <c r="B24" s="5">
        <v>114</v>
      </c>
      <c r="C24" s="19">
        <f t="shared" si="0"/>
        <v>4.7361984483944957</v>
      </c>
      <c r="D24" s="20">
        <v>117.40106426415659</v>
      </c>
      <c r="F24" s="3"/>
      <c r="G24" s="3" t="s">
        <v>26</v>
      </c>
      <c r="H24" s="3" t="s">
        <v>27</v>
      </c>
      <c r="J24" s="3" t="s">
        <v>34</v>
      </c>
      <c r="K24" s="3" t="s">
        <v>35</v>
      </c>
      <c r="L24" s="3" t="s">
        <v>36</v>
      </c>
      <c r="O24" s="14" t="s">
        <v>38</v>
      </c>
      <c r="P24" s="14" t="s">
        <v>39</v>
      </c>
      <c r="Q24" s="14" t="s">
        <v>40</v>
      </c>
      <c r="R24" s="14" t="s">
        <v>41</v>
      </c>
      <c r="S24" s="14" t="s">
        <v>42</v>
      </c>
      <c r="T24" s="14" t="s">
        <v>43</v>
      </c>
      <c r="U24" s="14" t="s">
        <v>44</v>
      </c>
    </row>
    <row r="25" spans="1:23" x14ac:dyDescent="0.25">
      <c r="A25" s="26">
        <v>18598</v>
      </c>
      <c r="B25" s="5">
        <v>140</v>
      </c>
      <c r="C25" s="19">
        <f t="shared" si="0"/>
        <v>4.9416424226093039</v>
      </c>
      <c r="D25" s="20">
        <v>131.86636193836844</v>
      </c>
      <c r="G25" s="9" t="s">
        <v>28</v>
      </c>
      <c r="H25">
        <v>2.908798783924881E-4</v>
      </c>
      <c r="J25" s="17">
        <f>_xll.AIRLINE_LLF(Modeling!$C$2:$C$145,1,$H$25,$H$28,$H$29,$H$26,$H$27)</f>
        <v>240.53149843556571</v>
      </c>
      <c r="K25" s="17">
        <f>_xll.AIRLINE_AIC(Modeling!$C$2:$C$145,1,$H$25,$H$28,$H$29,$H$26,$H$27)</f>
        <v>-472.74553655367112</v>
      </c>
      <c r="L25" s="18">
        <f>_xll.AIRLINE_CHECK($H$25,$H$28,$H$29,$H$26,$H$27)</f>
        <v>1</v>
      </c>
      <c r="O25" s="19">
        <f>AVERAGE(_xll.RMNA(_xll.AIRLINE_RESID(Modeling!$C$2:$C$145,1,$H$25,$H$28,$H$29,$H$26,$H$27)))</f>
        <v>9.8757062544196157E-4</v>
      </c>
      <c r="P25" s="19">
        <f>STDEV(_xll.RMNA(_xll.AIRLINE_RESID(Modeling!$C$2:$C$145,1,$H$25,$H$28,$H$29,$H$26,$H$27)))</f>
        <v>0.97871351925449324</v>
      </c>
      <c r="Q25" s="19">
        <f>SKEW(_xll.RMNA(_xll.AIRLINE_RESID(Modeling!$C$2:$C$145,1,$H$25,$H$28,$H$29,$H$26,$H$27)))</f>
        <v>8.7903223332272268E-2</v>
      </c>
      <c r="R25" s="19">
        <f>KURT(_xll.RMNA(_xll.AIRLINE_RESID(Modeling!$C$2:$C$145,1,$H$25,$H$28,$H$29,$H$26,$H$27)))</f>
        <v>0.63247035925448802</v>
      </c>
      <c r="S25" s="19" t="b">
        <f>IF(_xll.WNTest(_xll.RMNA(_xll.AIRLINE_RESID(Modeling!$C$2:$C$145,1,$H$25,$H$28,$H$29,$H$26,$H$27)),1) &gt;0.05, TRUE, FALSE)</f>
        <v>1</v>
      </c>
      <c r="T25" s="19" t="b">
        <f>IF(_xll.NormalityTest(_xll.RMNA(_xll.AIRLINE_RESID(Modeling!$C$2:$C$145,1,$H$25,$H$28,$H$29,$H$26,$H$27)),1) &gt;0.05, TRUE, FALSE)</f>
        <v>1</v>
      </c>
      <c r="U25" s="19" t="b">
        <f>IF(_xll.ARCHTest(_xll.RMNA(_xll.AIRLINE_RESID(Modeling!$C$2:$C$145,1,$H$25,$H$28,$H$29,$H$26,$H$27)),1) &lt;0.05, TRUE, FALSE)</f>
        <v>0</v>
      </c>
    </row>
    <row r="26" spans="1:23" x14ac:dyDescent="0.25">
      <c r="A26" s="26">
        <v>18629</v>
      </c>
      <c r="B26" s="5">
        <v>145</v>
      </c>
      <c r="C26" s="19">
        <f t="shared" si="0"/>
        <v>4.9767337424205742</v>
      </c>
      <c r="D26" s="20">
        <v>134.38100036802669</v>
      </c>
      <c r="G26" s="9" t="s">
        <v>29</v>
      </c>
      <c r="H26">
        <v>0.41710268825844327</v>
      </c>
      <c r="N26" s="4" t="s">
        <v>11</v>
      </c>
      <c r="O26" s="19">
        <v>0</v>
      </c>
      <c r="P26" s="19">
        <v>1</v>
      </c>
      <c r="Q26" s="19">
        <v>0</v>
      </c>
      <c r="R26" s="19">
        <v>0</v>
      </c>
    </row>
    <row r="27" spans="1:23" x14ac:dyDescent="0.25">
      <c r="A27" s="26">
        <v>18660</v>
      </c>
      <c r="B27" s="5">
        <v>150</v>
      </c>
      <c r="C27" s="19">
        <f t="shared" si="0"/>
        <v>5.0106352940962555</v>
      </c>
      <c r="D27" s="20">
        <v>151.92027974280325</v>
      </c>
      <c r="G27" s="9" t="s">
        <v>30</v>
      </c>
      <c r="H27">
        <v>0.44247525334144588</v>
      </c>
      <c r="N27" s="4" t="s">
        <v>13</v>
      </c>
      <c r="O27" s="5" t="b">
        <f>IF( _xll.TEST_MEAN(_xll.RMNA(_xll.AIRLINE_RESID(Modeling!$C$2:$C$145,1,$H$25,$H$28,$H$29,$H$26,$H$27)),O26) &gt;0.05/2, FALSE, TRUE)</f>
        <v>0</v>
      </c>
      <c r="P27" s="5" t="b">
        <f>IF( _xll.TEST_STDEV(_xll.RMNA(_xll.AIRLINE_RESID(Modeling!$C$2:$C$145,1,$H$25,$H$28,$H$29,$H$26,$H$27)),P26) &gt;0.05, FALSE, TRUE)</f>
        <v>0</v>
      </c>
      <c r="Q27" s="5" t="b">
        <f>IF( _xll.TEST_SKEW(_xll.RMNA(_xll.AIRLINE_RESID(Modeling!$C$2:$C$145,1,$H$25,$H$28,$H$29,$H$26,$H$27))) &gt;0.05/2, FALSE, TRUE)</f>
        <v>0</v>
      </c>
      <c r="R27" s="5" t="b">
        <f>IF( _xll.TEST_XKURT(_xll.RMNA(_xll.AIRLINE_RESID(Modeling!$C$2:$C$145,1,$H$25,$H$28,$H$29,$H$26,$H$27))) &gt;0.05/2, FALSE, TRUE)</f>
        <v>0</v>
      </c>
    </row>
    <row r="28" spans="1:23" x14ac:dyDescent="0.25">
      <c r="A28" s="26">
        <v>18688</v>
      </c>
      <c r="B28" s="5">
        <v>178</v>
      </c>
      <c r="C28" s="19">
        <f t="shared" si="0"/>
        <v>5.181783550292085</v>
      </c>
      <c r="D28" s="20">
        <v>168.9554706269457</v>
      </c>
      <c r="G28" s="9" t="s">
        <v>31</v>
      </c>
      <c r="H28">
        <v>3.8249000788714481E-2</v>
      </c>
    </row>
    <row r="29" spans="1:23" x14ac:dyDescent="0.25">
      <c r="A29" s="26">
        <v>18719</v>
      </c>
      <c r="B29" s="5">
        <v>163</v>
      </c>
      <c r="C29" s="19">
        <f t="shared" si="0"/>
        <v>5.0937502008067623</v>
      </c>
      <c r="D29" s="20">
        <v>167.96167464821013</v>
      </c>
      <c r="G29" s="9" t="s">
        <v>32</v>
      </c>
      <c r="H29" s="6">
        <v>12</v>
      </c>
    </row>
    <row r="30" spans="1:23" x14ac:dyDescent="0.25">
      <c r="A30" s="26">
        <v>18749</v>
      </c>
      <c r="B30" s="5">
        <v>172</v>
      </c>
      <c r="C30" s="19">
        <f t="shared" si="0"/>
        <v>5.1474944768134527</v>
      </c>
      <c r="D30" s="20">
        <v>153.92251740267869</v>
      </c>
    </row>
    <row r="31" spans="1:23" x14ac:dyDescent="0.25">
      <c r="A31" s="26">
        <v>18780</v>
      </c>
      <c r="B31" s="5">
        <v>178</v>
      </c>
      <c r="C31" s="19">
        <f t="shared" si="0"/>
        <v>5.181783550292085</v>
      </c>
      <c r="D31" s="20">
        <v>190.73743607279548</v>
      </c>
    </row>
    <row r="32" spans="1:23" x14ac:dyDescent="0.25">
      <c r="A32" s="26">
        <v>18810</v>
      </c>
      <c r="B32" s="5">
        <v>199</v>
      </c>
      <c r="C32" s="19">
        <f t="shared" si="0"/>
        <v>5.2933048247244923</v>
      </c>
      <c r="D32" s="20">
        <v>206.02525349915459</v>
      </c>
    </row>
    <row r="33" spans="1:17" x14ac:dyDescent="0.25">
      <c r="A33" s="26">
        <v>18841</v>
      </c>
      <c r="B33" s="5">
        <v>199</v>
      </c>
      <c r="C33" s="19">
        <f t="shared" si="0"/>
        <v>5.2933048247244923</v>
      </c>
      <c r="D33" s="20">
        <v>201.97986296962648</v>
      </c>
    </row>
    <row r="34" spans="1:17" x14ac:dyDescent="0.25">
      <c r="A34" s="26">
        <v>18872</v>
      </c>
      <c r="B34" s="5">
        <v>184</v>
      </c>
      <c r="C34" s="19">
        <f t="shared" si="0"/>
        <v>5.2149357576089859</v>
      </c>
      <c r="D34" s="20">
        <v>185.39279039738145</v>
      </c>
    </row>
    <row r="35" spans="1:17" ht="15.75" thickBot="1" x14ac:dyDescent="0.3">
      <c r="A35" s="26">
        <v>18902</v>
      </c>
      <c r="B35" s="5">
        <v>162</v>
      </c>
      <c r="C35" s="19">
        <f t="shared" si="0"/>
        <v>5.0875963352323836</v>
      </c>
      <c r="D35" s="20">
        <v>157.75318242826918</v>
      </c>
      <c r="F35" t="s">
        <v>45</v>
      </c>
    </row>
    <row r="36" spans="1:17" ht="15.75" thickBot="1" x14ac:dyDescent="0.3">
      <c r="A36" s="26">
        <v>18933</v>
      </c>
      <c r="B36" s="5">
        <v>146</v>
      </c>
      <c r="C36" s="19">
        <f t="shared" si="0"/>
        <v>4.9836066217083363</v>
      </c>
      <c r="D36" s="20">
        <v>138.46473558476941</v>
      </c>
      <c r="F36" s="14" t="s">
        <v>46</v>
      </c>
      <c r="G36" s="14" t="s">
        <v>47</v>
      </c>
      <c r="H36" s="14" t="s">
        <v>48</v>
      </c>
      <c r="I36" s="14" t="s">
        <v>22</v>
      </c>
      <c r="J36" s="14" t="s">
        <v>23</v>
      </c>
      <c r="L36" s="14" t="s">
        <v>46</v>
      </c>
      <c r="M36" s="14" t="s">
        <v>47</v>
      </c>
      <c r="N36" s="14" t="s">
        <v>48</v>
      </c>
      <c r="O36" s="14" t="s">
        <v>22</v>
      </c>
      <c r="P36" s="14" t="s">
        <v>23</v>
      </c>
      <c r="Q36" s="22" t="s">
        <v>49</v>
      </c>
    </row>
    <row r="37" spans="1:17" x14ac:dyDescent="0.25">
      <c r="A37" s="26">
        <v>18963</v>
      </c>
      <c r="B37" s="5">
        <v>166</v>
      </c>
      <c r="C37" s="19">
        <f t="shared" si="0"/>
        <v>5.1119877883565437</v>
      </c>
      <c r="D37" s="20">
        <v>170.25622372038839</v>
      </c>
      <c r="E37" s="21">
        <v>22282</v>
      </c>
      <c r="F37" s="9">
        <v>1</v>
      </c>
      <c r="G37" s="19">
        <f>_xll.AIRLINE_FORE($C$131:$C$145,1,$H$25,$H$28,$H$29,$H$26,$H$27,$F37)</f>
        <v>6.109362784613535</v>
      </c>
      <c r="H37" s="19">
        <f>_xll.AIRLINE_FORESD($C$131:$C$145,1,$H$25,$H$28,$H$29,$H$26,$H$27,$F37)</f>
        <v>3.8249000788714481E-2</v>
      </c>
      <c r="I37" s="19">
        <f>_xll.AIRLINE_FORECI($C$131:$C$145,1,$H$25,$H$28,$H$29,$H$26,$H$27,$F37,0.05,1)</f>
        <v>6.1843294486040596</v>
      </c>
      <c r="J37" s="19">
        <f>_xll.AIRLINE_FORECI($C$131:$C$145,1,$H$25,$H$28,$H$29,$H$26,$H$27,$F37,0.05,0)</f>
        <v>6.0343961206230103</v>
      </c>
      <c r="K37" s="19">
        <f>I37-J37</f>
        <v>0.1499333279810493</v>
      </c>
      <c r="L37" s="5">
        <v>1</v>
      </c>
      <c r="M37" s="20">
        <f>EXP(G37+H37^2/2)</f>
        <v>450.38117404221003</v>
      </c>
      <c r="O37" s="20">
        <f>EXP(I37)</f>
        <v>485.08757837452509</v>
      </c>
      <c r="P37" s="20">
        <f>EXP(J37)</f>
        <v>417.54658571753521</v>
      </c>
      <c r="Q37" s="20">
        <f>O37-P37</f>
        <v>67.540992656989886</v>
      </c>
    </row>
    <row r="38" spans="1:17" x14ac:dyDescent="0.25">
      <c r="A38" s="26">
        <v>18994</v>
      </c>
      <c r="B38" s="5">
        <v>171</v>
      </c>
      <c r="C38" s="19">
        <f t="shared" si="0"/>
        <v>5.1416635565026603</v>
      </c>
      <c r="D38" s="20">
        <v>170.25538914447282</v>
      </c>
      <c r="E38" s="21">
        <v>22313</v>
      </c>
      <c r="F38" s="9">
        <v>2</v>
      </c>
      <c r="G38" s="19">
        <f>_xll.AIRLINE_FORE($C$131:$C$145,1,$H$25,$H$28,$H$29,$H$26,$H$27,$F38)</f>
        <v>6.0452750026784914</v>
      </c>
      <c r="H38" s="19">
        <f>_xll.AIRLINE_FORESD($C$131:$C$145,1,$H$25,$H$28,$H$29,$H$26,$H$27,$F38)</f>
        <v>4.4272607515765075E-2</v>
      </c>
      <c r="I38" s="19">
        <f>_xll.AIRLINE_FORECI($C$131:$C$145,1,$H$25,$H$28,$H$29,$H$26,$H$27,$F38,0.05,1)</f>
        <v>6.1320477189110685</v>
      </c>
      <c r="J38" s="19">
        <f>_xll.AIRLINE_FORECI($C$131:$C$145,1,$H$25,$H$28,$H$29,$H$26,$H$27,$F38,0.05,0)</f>
        <v>5.9585022864459143</v>
      </c>
      <c r="K38" s="19">
        <f t="shared" ref="K38:K48" si="1">I38-J38</f>
        <v>0.17354543246515419</v>
      </c>
      <c r="L38" s="5">
        <v>2</v>
      </c>
      <c r="M38" s="20">
        <f t="shared" ref="M38:M63" si="2">EXP(G38+H38^2/2)</f>
        <v>422.52771174133107</v>
      </c>
      <c r="O38" s="20">
        <f>EXP(I38)</f>
        <v>460.37792069540535</v>
      </c>
      <c r="P38" s="20">
        <f>EXP(J38)</f>
        <v>387.03002981708624</v>
      </c>
      <c r="Q38" s="20">
        <f t="shared" ref="Q38:Q48" si="3">O38-P38</f>
        <v>73.347890878319106</v>
      </c>
    </row>
    <row r="39" spans="1:17" x14ac:dyDescent="0.25">
      <c r="A39" s="26">
        <v>19025</v>
      </c>
      <c r="B39" s="5">
        <v>180</v>
      </c>
      <c r="C39" s="19">
        <f t="shared" si="0"/>
        <v>5.1929568508902104</v>
      </c>
      <c r="D39" s="20">
        <v>179.94272194153348</v>
      </c>
      <c r="E39" s="21">
        <v>22341</v>
      </c>
      <c r="F39" s="9">
        <v>3</v>
      </c>
      <c r="G39" s="19">
        <f>_xll.AIRLINE_FORE($C$131:$C$145,1,$H$25,$H$28,$H$29,$H$26,$H$27,$F39)</f>
        <v>6.114729242493655</v>
      </c>
      <c r="H39" s="19">
        <f>_xll.AIRLINE_FORESD($C$131:$C$145,1,$H$25,$H$28,$H$29,$H$26,$H$27,$F39)</f>
        <v>4.9569562144070579E-2</v>
      </c>
      <c r="I39" s="19">
        <f>_xll.AIRLINE_FORECI($C$131:$C$145,1,$H$25,$H$28,$H$29,$H$26,$H$27,$F39,0.05,1)</f>
        <v>6.2118837990254532</v>
      </c>
      <c r="J39" s="19">
        <f>_xll.AIRLINE_FORECI($C$131:$C$145,1,$H$25,$H$28,$H$29,$H$26,$H$27,$F39,0.05,0)</f>
        <v>6.0175746859618569</v>
      </c>
      <c r="K39" s="19">
        <f t="shared" si="1"/>
        <v>0.19430911306359633</v>
      </c>
      <c r="L39" s="5">
        <v>3</v>
      </c>
      <c r="M39" s="20">
        <f t="shared" si="2"/>
        <v>453.02975753089981</v>
      </c>
      <c r="O39" s="20">
        <f>EXP(I39)</f>
        <v>498.63970406964302</v>
      </c>
      <c r="P39" s="20">
        <f>EXP(J39)</f>
        <v>410.58159788578769</v>
      </c>
      <c r="Q39" s="20">
        <f t="shared" si="3"/>
        <v>88.05810618385533</v>
      </c>
    </row>
    <row r="40" spans="1:17" x14ac:dyDescent="0.25">
      <c r="A40" s="26">
        <v>19054</v>
      </c>
      <c r="B40" s="5">
        <v>193</v>
      </c>
      <c r="C40" s="19">
        <f t="shared" si="0"/>
        <v>5.2626901889048856</v>
      </c>
      <c r="D40" s="20">
        <v>208.29747564849305</v>
      </c>
      <c r="E40" s="21">
        <v>22372</v>
      </c>
      <c r="F40" s="9">
        <v>4</v>
      </c>
      <c r="G40" s="19">
        <f>_xll.AIRLINE_FORE($C$131:$C$145,1,$H$25,$H$28,$H$29,$H$26,$H$27,$F40)</f>
        <v>6.2105472454465582</v>
      </c>
      <c r="H40" s="19">
        <f>_xll.AIRLINE_FORESD($C$131:$C$145,1,$H$25,$H$28,$H$29,$H$26,$H$27,$F40)</f>
        <v>5.4352729518072712E-2</v>
      </c>
      <c r="I40" s="19">
        <f>_xll.AIRLINE_FORECI($C$131:$C$145,1,$H$25,$H$28,$H$29,$H$26,$H$27,$F40,0.05,1)</f>
        <v>6.317076637763428</v>
      </c>
      <c r="J40" s="19">
        <f>_xll.AIRLINE_FORECI($C$131:$C$145,1,$H$25,$H$28,$H$29,$H$26,$H$27,$F40,0.05,0)</f>
        <v>6.1040178531296885</v>
      </c>
      <c r="K40" s="19">
        <f t="shared" si="1"/>
        <v>0.21305878463373951</v>
      </c>
      <c r="L40" s="5">
        <v>4</v>
      </c>
      <c r="M40" s="20">
        <f t="shared" si="2"/>
        <v>498.70979580971709</v>
      </c>
      <c r="O40" s="20">
        <f>EXP(I40)</f>
        <v>553.95122301035758</v>
      </c>
      <c r="P40" s="20">
        <f>EXP(J40)</f>
        <v>447.65276471710666</v>
      </c>
      <c r="Q40" s="20">
        <f t="shared" si="3"/>
        <v>106.29845829325092</v>
      </c>
    </row>
    <row r="41" spans="1:17" x14ac:dyDescent="0.25">
      <c r="A41" s="26">
        <v>19085</v>
      </c>
      <c r="B41" s="5">
        <v>181</v>
      </c>
      <c r="C41" s="19">
        <f t="shared" si="0"/>
        <v>5.1984970312658261</v>
      </c>
      <c r="D41" s="20">
        <v>186.65763165355619</v>
      </c>
      <c r="E41" s="21">
        <v>22402</v>
      </c>
      <c r="F41" s="9">
        <v>5</v>
      </c>
      <c r="G41" s="19">
        <f>_xll.AIRLINE_FORE($C$131:$C$145,1,$H$25,$H$28,$H$29,$H$26,$H$27,$F41)</f>
        <v>6.2344190679138558</v>
      </c>
      <c r="H41" s="19">
        <f>_xll.AIRLINE_FORESD($C$131:$C$145,1,$H$25,$H$28,$H$29,$H$26,$H$27,$F41)</f>
        <v>5.8747739709495803E-2</v>
      </c>
      <c r="I41" s="19">
        <f>_xll.AIRLINE_FORECI($C$131:$C$145,1,$H$25,$H$28,$H$29,$H$26,$H$27,$F41,0.05,1)</f>
        <v>6.3495625219176013</v>
      </c>
      <c r="J41" s="19">
        <f>_xll.AIRLINE_FORECI($C$131:$C$145,1,$H$25,$H$28,$H$29,$H$26,$H$27,$F41,0.05,0)</f>
        <v>6.1192756139101103</v>
      </c>
      <c r="K41" s="19">
        <f t="shared" si="1"/>
        <v>0.23028690800749096</v>
      </c>
      <c r="L41" s="5">
        <v>5</v>
      </c>
      <c r="M41" s="20">
        <f t="shared" si="2"/>
        <v>510.88510239241316</v>
      </c>
      <c r="O41" s="20">
        <f>EXP(I41)</f>
        <v>572.24231077700824</v>
      </c>
      <c r="P41" s="20">
        <f>EXP(J41)</f>
        <v>454.53531615499617</v>
      </c>
      <c r="Q41" s="20">
        <f t="shared" si="3"/>
        <v>117.70699462201208</v>
      </c>
    </row>
    <row r="42" spans="1:17" x14ac:dyDescent="0.25">
      <c r="A42" s="26">
        <v>19115</v>
      </c>
      <c r="B42" s="5">
        <v>183</v>
      </c>
      <c r="C42" s="19">
        <f t="shared" si="0"/>
        <v>5.2094861528414214</v>
      </c>
      <c r="D42" s="20">
        <v>183.38506130095158</v>
      </c>
      <c r="E42" s="21">
        <v>22433</v>
      </c>
      <c r="F42" s="9">
        <v>6</v>
      </c>
      <c r="G42" s="19">
        <f>_xll.AIRLINE_FORE($C$131:$C$145,1,$H$25,$H$28,$H$29,$H$26,$H$27,$F42)</f>
        <v>6.3599977091026982</v>
      </c>
      <c r="H42" s="19">
        <f>_xll.AIRLINE_FORESD($C$131:$C$145,1,$H$25,$H$28,$H$29,$H$26,$H$27,$F42)</f>
        <v>6.2836093416798022E-2</v>
      </c>
      <c r="I42" s="19">
        <f>_xll.AIRLINE_FORECI($C$131:$C$145,1,$H$25,$H$28,$H$29,$H$26,$H$27,$F42,0.05,1)</f>
        <v>6.4831541891288165</v>
      </c>
      <c r="J42" s="19">
        <f>_xll.AIRLINE_FORECI($C$131:$C$145,1,$H$25,$H$28,$H$29,$H$26,$H$27,$F42,0.05,0)</f>
        <v>6.23684122907658</v>
      </c>
      <c r="K42" s="19">
        <f t="shared" si="1"/>
        <v>0.24631296005223646</v>
      </c>
      <c r="L42" s="5">
        <v>6</v>
      </c>
      <c r="M42" s="20">
        <f t="shared" si="2"/>
        <v>579.38772327294089</v>
      </c>
      <c r="O42" s="20">
        <f>EXP(I42)</f>
        <v>654.0306325546112</v>
      </c>
      <c r="P42" s="20">
        <f>EXP(J42)</f>
        <v>511.24106430721992</v>
      </c>
      <c r="Q42" s="20">
        <f t="shared" si="3"/>
        <v>142.78956824739129</v>
      </c>
    </row>
    <row r="43" spans="1:17" x14ac:dyDescent="0.25">
      <c r="A43" s="26">
        <v>19146</v>
      </c>
      <c r="B43" s="5">
        <v>218</v>
      </c>
      <c r="C43" s="19">
        <f t="shared" si="0"/>
        <v>5.3844950627890888</v>
      </c>
      <c r="D43" s="20">
        <v>199.43556148703288</v>
      </c>
      <c r="E43" s="21">
        <v>22463</v>
      </c>
      <c r="F43" s="9">
        <v>7</v>
      </c>
      <c r="G43" s="19">
        <f>_xll.AIRLINE_FORE($C$131:$C$145,1,$H$25,$H$28,$H$29,$H$26,$H$27,$F43)</f>
        <v>6.5109619348242624</v>
      </c>
      <c r="H43" s="19">
        <f>_xll.AIRLINE_FORESD($C$131:$C$145,1,$H$25,$H$28,$H$29,$H$26,$H$27,$F43)</f>
        <v>6.6674225535768059E-2</v>
      </c>
      <c r="I43" s="19">
        <f>_xll.AIRLINE_FORECI($C$131:$C$145,1,$H$25,$H$28,$H$29,$H$26,$H$27,$F43,0.05,1)</f>
        <v>6.6416410155714685</v>
      </c>
      <c r="J43" s="19">
        <f>_xll.AIRLINE_FORECI($C$131:$C$145,1,$H$25,$H$28,$H$29,$H$26,$H$27,$F43,0.05,0)</f>
        <v>6.3802828540770564</v>
      </c>
      <c r="K43" s="19">
        <f t="shared" si="1"/>
        <v>0.26135816149441204</v>
      </c>
      <c r="L43" s="5">
        <v>7</v>
      </c>
      <c r="M43" s="20">
        <f t="shared" si="2"/>
        <v>673.96936745500398</v>
      </c>
      <c r="O43" s="20">
        <f>EXP(I43)</f>
        <v>766.35155655541371</v>
      </c>
      <c r="P43" s="20">
        <f>EXP(J43)</f>
        <v>590.09459471697824</v>
      </c>
      <c r="Q43" s="20">
        <f t="shared" si="3"/>
        <v>176.25696183843547</v>
      </c>
    </row>
    <row r="44" spans="1:17" x14ac:dyDescent="0.25">
      <c r="A44" s="26">
        <v>19176</v>
      </c>
      <c r="B44" s="5">
        <v>230</v>
      </c>
      <c r="C44" s="19">
        <f t="shared" si="0"/>
        <v>5.4380793089231956</v>
      </c>
      <c r="D44" s="20">
        <v>235.46321276159205</v>
      </c>
      <c r="E44" s="21">
        <v>22494</v>
      </c>
      <c r="F44" s="9">
        <v>8</v>
      </c>
      <c r="G44" s="19">
        <f>_xll.AIRLINE_FORE($C$131:$C$145,1,$H$25,$H$28,$H$29,$H$26,$H$27,$F44)</f>
        <v>6.4851927080327885</v>
      </c>
      <c r="H44" s="19">
        <f>_xll.AIRLINE_FORESD($C$131:$C$145,1,$H$25,$H$28,$H$29,$H$26,$H$27,$F44)</f>
        <v>7.0303129842876566E-2</v>
      </c>
      <c r="I44" s="19">
        <f>_xll.AIRLINE_FORECI($C$131:$C$145,1,$H$25,$H$28,$H$29,$H$26,$H$27,$F44,0.05,1)</f>
        <v>6.6229843105252693</v>
      </c>
      <c r="J44" s="19">
        <f>_xll.AIRLINE_FORECI($C$131:$C$145,1,$H$25,$H$28,$H$29,$H$26,$H$27,$F44,0.05,0)</f>
        <v>6.3474011055403077</v>
      </c>
      <c r="K44" s="19">
        <f t="shared" si="1"/>
        <v>0.27558320498496158</v>
      </c>
      <c r="L44" s="5">
        <v>8</v>
      </c>
      <c r="M44" s="20">
        <f t="shared" si="2"/>
        <v>656.98683029173355</v>
      </c>
      <c r="O44" s="20">
        <f>EXP(I44)</f>
        <v>752.18650902963486</v>
      </c>
      <c r="P44" s="20">
        <f>EXP(J44)</f>
        <v>571.00679259033575</v>
      </c>
      <c r="Q44" s="20">
        <f t="shared" si="3"/>
        <v>181.17971643929911</v>
      </c>
    </row>
    <row r="45" spans="1:17" x14ac:dyDescent="0.25">
      <c r="A45" s="26">
        <v>19207</v>
      </c>
      <c r="B45" s="5">
        <v>242</v>
      </c>
      <c r="C45" s="19">
        <f t="shared" si="0"/>
        <v>5.4889377261566867</v>
      </c>
      <c r="D45" s="20">
        <v>232.40585678903827</v>
      </c>
      <c r="E45" s="21">
        <v>22525</v>
      </c>
      <c r="F45" s="9">
        <v>9</v>
      </c>
      <c r="G45" s="19">
        <f>_xll.AIRLINE_FORE($C$131:$C$145,1,$H$25,$H$28,$H$29,$H$26,$H$27,$F45)</f>
        <v>6.3090850494203492</v>
      </c>
      <c r="H45" s="19">
        <f>_xll.AIRLINE_FORESD($C$131:$C$145,1,$H$25,$H$28,$H$29,$H$26,$H$27,$F45)</f>
        <v>7.3753696725074452E-2</v>
      </c>
      <c r="I45" s="19">
        <f>_xll.AIRLINE_FORECI($C$131:$C$145,1,$H$25,$H$28,$H$29,$H$26,$H$27,$F45,0.05,1)</f>
        <v>6.4536396387281849</v>
      </c>
      <c r="J45" s="19">
        <f>_xll.AIRLINE_FORECI($C$131:$C$145,1,$H$25,$H$28,$H$29,$H$26,$H$27,$F45,0.05,0)</f>
        <v>6.1645304601125135</v>
      </c>
      <c r="K45" s="19">
        <f t="shared" si="1"/>
        <v>0.28910917861567142</v>
      </c>
      <c r="L45" s="5">
        <v>9</v>
      </c>
      <c r="M45" s="20">
        <f t="shared" si="2"/>
        <v>551.038595682601</v>
      </c>
      <c r="O45" s="20">
        <f>EXP(I45)</f>
        <v>635.00929636358671</v>
      </c>
      <c r="P45" s="20">
        <f>EXP(J45)</f>
        <v>475.57778776143579</v>
      </c>
      <c r="Q45" s="20">
        <f t="shared" si="3"/>
        <v>159.43150860215093</v>
      </c>
    </row>
    <row r="46" spans="1:17" x14ac:dyDescent="0.25">
      <c r="A46" s="26">
        <v>19238</v>
      </c>
      <c r="B46" s="5">
        <v>209</v>
      </c>
      <c r="C46" s="19">
        <f t="shared" si="0"/>
        <v>5.3423342519648109</v>
      </c>
      <c r="D46" s="20">
        <v>220.16160023086536</v>
      </c>
      <c r="E46" s="21">
        <v>22555</v>
      </c>
      <c r="F46" s="9">
        <v>10</v>
      </c>
      <c r="G46" s="19">
        <f>_xll.AIRLINE_FORE($C$131:$C$145,1,$H$25,$H$28,$H$29,$H$26,$H$27,$F46)</f>
        <v>6.204165117807209</v>
      </c>
      <c r="H46" s="19">
        <f>_xll.AIRLINE_FORESD($C$131:$C$145,1,$H$25,$H$28,$H$29,$H$26,$H$27,$F46)</f>
        <v>7.7049889652900577E-2</v>
      </c>
      <c r="I46" s="19">
        <f>_xll.AIRLINE_FORECI($C$131:$C$145,1,$H$25,$H$28,$H$29,$H$26,$H$27,$F46,0.05,1)</f>
        <v>6.3551801265396799</v>
      </c>
      <c r="J46" s="19">
        <f>_xll.AIRLINE_FORECI($C$131:$C$145,1,$H$25,$H$28,$H$29,$H$26,$H$27,$F46,0.05,0)</f>
        <v>6.0531501090747382</v>
      </c>
      <c r="K46" s="19">
        <f t="shared" si="1"/>
        <v>0.30203001746494174</v>
      </c>
      <c r="L46" s="5">
        <v>10</v>
      </c>
      <c r="M46" s="20">
        <f t="shared" si="2"/>
        <v>496.27661388333507</v>
      </c>
      <c r="O46" s="20">
        <f>EXP(I46)</f>
        <v>575.4659880214823</v>
      </c>
      <c r="P46" s="20">
        <f>EXP(J46)</f>
        <v>425.45113883722286</v>
      </c>
      <c r="Q46" s="20">
        <f t="shared" si="3"/>
        <v>150.01484918425945</v>
      </c>
    </row>
    <row r="47" spans="1:17" x14ac:dyDescent="0.25">
      <c r="A47" s="26">
        <v>19268</v>
      </c>
      <c r="B47" s="5">
        <v>191</v>
      </c>
      <c r="C47" s="19">
        <f t="shared" si="0"/>
        <v>5.2522734280466299</v>
      </c>
      <c r="D47" s="20">
        <v>185.712072734028</v>
      </c>
      <c r="E47" s="21">
        <v>22586</v>
      </c>
      <c r="F47" s="9">
        <v>11</v>
      </c>
      <c r="G47" s="19">
        <f>_xll.AIRLINE_FORE($C$131:$C$145,1,$H$25,$H$28,$H$29,$H$26,$H$27,$F47)</f>
        <v>6.0558442578103326</v>
      </c>
      <c r="H47" s="19">
        <f>_xll.AIRLINE_FORESD($C$131:$C$145,1,$H$25,$H$28,$H$29,$H$26,$H$27,$F47)</f>
        <v>8.0210742487736977E-2</v>
      </c>
      <c r="I47" s="19">
        <f>_xll.AIRLINE_FORECI($C$131:$C$145,1,$H$25,$H$28,$H$29,$H$26,$H$27,$F47,0.05,1)</f>
        <v>6.2130544242595134</v>
      </c>
      <c r="J47" s="19">
        <f>_xll.AIRLINE_FORECI($C$131:$C$145,1,$H$25,$H$28,$H$29,$H$26,$H$27,$F47,0.05,0)</f>
        <v>5.8986340913611519</v>
      </c>
      <c r="K47" s="19">
        <f t="shared" si="1"/>
        <v>0.31442033289836147</v>
      </c>
      <c r="L47" s="5">
        <v>11</v>
      </c>
      <c r="M47" s="20">
        <f t="shared" si="2"/>
        <v>427.97344078493643</v>
      </c>
      <c r="O47" s="20">
        <f>EXP(I47)</f>
        <v>499.22376608209817</v>
      </c>
      <c r="P47" s="20">
        <f>EXP(J47)</f>
        <v>364.53920040585035</v>
      </c>
      <c r="Q47" s="20">
        <f t="shared" si="3"/>
        <v>134.68456567624781</v>
      </c>
    </row>
    <row r="48" spans="1:17" x14ac:dyDescent="0.25">
      <c r="A48" s="26">
        <v>19299</v>
      </c>
      <c r="B48" s="5">
        <v>172</v>
      </c>
      <c r="C48" s="19">
        <f t="shared" si="0"/>
        <v>5.1474944768134527</v>
      </c>
      <c r="D48" s="20">
        <v>167.11159391746514</v>
      </c>
      <c r="E48" s="21">
        <v>22616</v>
      </c>
      <c r="F48" s="9">
        <v>12</v>
      </c>
      <c r="G48" s="19">
        <f>_xll.AIRLINE_FORE($C$131:$C$145,1,$H$25,$H$28,$H$29,$H$26,$H$27,$F48)</f>
        <v>6.1622085951753309</v>
      </c>
      <c r="H48" s="19">
        <f>_xll.AIRLINE_FORESD($C$131:$C$145,1,$H$25,$H$28,$H$29,$H$26,$H$27,$F48)</f>
        <v>8.3251672207493535E-2</v>
      </c>
      <c r="I48" s="19">
        <f>_xll.AIRLINE_FORECI($C$131:$C$145,1,$H$25,$H$28,$H$29,$H$26,$H$27,$F48,0.05,1)</f>
        <v>6.3253788743547528</v>
      </c>
      <c r="J48" s="19">
        <f>_xll.AIRLINE_FORECI($C$131:$C$145,1,$H$25,$H$28,$H$29,$H$26,$H$27,$F48,0.05,0)</f>
        <v>5.9990383159959091</v>
      </c>
      <c r="K48" s="19">
        <f t="shared" si="1"/>
        <v>0.32634055835884368</v>
      </c>
      <c r="L48" s="5">
        <v>12</v>
      </c>
      <c r="M48" s="20">
        <f t="shared" si="2"/>
        <v>476.12194844810966</v>
      </c>
      <c r="O48" s="20">
        <f>EXP(I48)</f>
        <v>558.56940120137347</v>
      </c>
      <c r="P48" s="20">
        <f>EXP(J48)</f>
        <v>403.041008968217</v>
      </c>
      <c r="Q48" s="20">
        <f t="shared" si="3"/>
        <v>155.52839223315647</v>
      </c>
    </row>
    <row r="49" spans="1:17" x14ac:dyDescent="0.25">
      <c r="A49" s="26">
        <v>19329</v>
      </c>
      <c r="B49" s="5">
        <v>194</v>
      </c>
      <c r="C49" s="19">
        <f t="shared" si="0"/>
        <v>5.2678581590633282</v>
      </c>
      <c r="D49" s="20">
        <v>197.29620275914817</v>
      </c>
      <c r="E49" s="21">
        <v>22647</v>
      </c>
      <c r="F49" s="9">
        <v>13</v>
      </c>
      <c r="G49" s="19">
        <f>_xll.AIRLINE_FORE($C$131:$C$145,1,$H$25,$H$28,$H$29,$H$26,$H$27,$F49)</f>
        <v>6.1992008860846664</v>
      </c>
      <c r="H49" s="19">
        <f>_xll.AIRLINE_FORESD($C$131:$C$145,1,$H$25,$H$28,$H$29,$H$26,$H$27,$F49)</f>
        <v>9.3986944267436479E-2</v>
      </c>
      <c r="I49" s="19">
        <f>_xll.AIRLINE_FORECI($C$131:$C$145,1,$H$25,$H$28,$H$29,$H$26,$H$27,$F49,0.05,1)</f>
        <v>6.3834119118658155</v>
      </c>
      <c r="J49" s="19">
        <f>_xll.AIRLINE_FORECI($C$131:$C$145,1,$H$25,$H$28,$H$29,$H$26,$H$27,$F49,0.05,0)</f>
        <v>6.0149898603035172</v>
      </c>
      <c r="K49" s="19">
        <f t="shared" ref="K49:K63" si="4">I49-J49</f>
        <v>0.36842205156229824</v>
      </c>
      <c r="L49" s="5">
        <v>13</v>
      </c>
      <c r="M49" s="20">
        <f t="shared" si="2"/>
        <v>494.5348673700546</v>
      </c>
      <c r="O49" s="20">
        <f>EXP(I49)</f>
        <v>591.94392662899281</v>
      </c>
      <c r="P49" s="20">
        <f>EXP(J49)</f>
        <v>409.5216864699762</v>
      </c>
      <c r="Q49" s="20">
        <f t="shared" ref="Q49:Q63" si="5">O49-P49</f>
        <v>182.42224015901661</v>
      </c>
    </row>
    <row r="50" spans="1:17" x14ac:dyDescent="0.25">
      <c r="A50" s="26">
        <v>19360</v>
      </c>
      <c r="B50" s="5">
        <v>196</v>
      </c>
      <c r="C50" s="19">
        <f t="shared" si="0"/>
        <v>5.2781146592305168</v>
      </c>
      <c r="D50" s="20">
        <v>199.97352794345119</v>
      </c>
      <c r="E50" s="21">
        <v>22678</v>
      </c>
      <c r="F50" s="9">
        <v>14</v>
      </c>
      <c r="G50" s="19">
        <f>_xll.AIRLINE_FORE($C$131:$C$145,1,$H$25,$H$28,$H$29,$H$26,$H$27,$F50)</f>
        <v>6.1354039840280157</v>
      </c>
      <c r="H50" s="19">
        <f>_xll.AIRLINE_FORESD($C$131:$C$145,1,$H$25,$H$28,$H$29,$H$26,$H$27,$F50)</f>
        <v>0.10019679754489492</v>
      </c>
      <c r="I50" s="19">
        <f>_xll.AIRLINE_FORECI($C$131:$C$145,1,$H$25,$H$28,$H$29,$H$26,$H$27,$F50,0.05,1)</f>
        <v>6.3317860985822607</v>
      </c>
      <c r="J50" s="19">
        <f>_xll.AIRLINE_FORECI($C$131:$C$145,1,$H$25,$H$28,$H$29,$H$26,$H$27,$F50,0.05,0)</f>
        <v>5.9390218694737706</v>
      </c>
      <c r="K50" s="19">
        <f t="shared" si="4"/>
        <v>0.39276422910849007</v>
      </c>
      <c r="L50" s="5">
        <v>14</v>
      </c>
      <c r="M50" s="20">
        <f t="shared" si="2"/>
        <v>464.25022419303025</v>
      </c>
      <c r="O50" s="20">
        <f>EXP(I50)</f>
        <v>562.15977046917351</v>
      </c>
      <c r="P50" s="20">
        <f>EXP(J50)</f>
        <v>379.56348527568036</v>
      </c>
      <c r="Q50" s="20">
        <f t="shared" si="5"/>
        <v>182.59628519349315</v>
      </c>
    </row>
    <row r="51" spans="1:17" x14ac:dyDescent="0.25">
      <c r="A51" s="26">
        <v>19391</v>
      </c>
      <c r="B51" s="5">
        <v>196</v>
      </c>
      <c r="C51" s="19">
        <f t="shared" si="0"/>
        <v>5.2781146592305168</v>
      </c>
      <c r="D51" s="20">
        <v>208.23248463666542</v>
      </c>
      <c r="E51" s="21">
        <v>22706</v>
      </c>
      <c r="F51" s="9">
        <v>15</v>
      </c>
      <c r="G51" s="19">
        <f>_xll.AIRLINE_FORE($C$131:$C$145,1,$H$25,$H$28,$H$29,$H$26,$H$27,$F51)</f>
        <v>6.2051491037215714</v>
      </c>
      <c r="H51" s="19">
        <f>_xll.AIRLINE_FORESD($C$131:$C$145,1,$H$25,$H$28,$H$29,$H$26,$H$27,$F51)</f>
        <v>0.10604362679470705</v>
      </c>
      <c r="I51" s="19">
        <f>_xll.AIRLINE_FORECI($C$131:$C$145,1,$H$25,$H$28,$H$29,$H$26,$H$27,$F51,0.05,1)</f>
        <v>6.4129907930292038</v>
      </c>
      <c r="J51" s="19">
        <f>_xll.AIRLINE_FORECI($C$131:$C$145,1,$H$25,$H$28,$H$29,$H$26,$H$27,$F51,0.05,0)</f>
        <v>5.9973074144139389</v>
      </c>
      <c r="K51" s="19">
        <f t="shared" si="4"/>
        <v>0.41568337861526494</v>
      </c>
      <c r="L51" s="5">
        <v>15</v>
      </c>
      <c r="M51" s="20">
        <f t="shared" si="2"/>
        <v>498.08549007729056</v>
      </c>
      <c r="O51" s="20">
        <f>EXP(I51)</f>
        <v>609.71448671448206</v>
      </c>
      <c r="P51" s="20">
        <f>EXP(J51)</f>
        <v>402.34398805951588</v>
      </c>
      <c r="Q51" s="20">
        <f t="shared" si="5"/>
        <v>207.37049865496618</v>
      </c>
    </row>
    <row r="52" spans="1:17" x14ac:dyDescent="0.25">
      <c r="A52" s="26">
        <v>19419</v>
      </c>
      <c r="B52" s="5">
        <v>236</v>
      </c>
      <c r="C52" s="19">
        <f t="shared" si="0"/>
        <v>5.4638318050256105</v>
      </c>
      <c r="D52" s="20">
        <v>222.99540321776385</v>
      </c>
      <c r="E52" s="21">
        <v>22737</v>
      </c>
      <c r="F52" s="9">
        <v>16</v>
      </c>
      <c r="G52" s="19">
        <f>_xll.AIRLINE_FORE($C$131:$C$145,1,$H$25,$H$28,$H$29,$H$26,$H$27,$F52)</f>
        <v>6.3012579865528666</v>
      </c>
      <c r="H52" s="19">
        <f>_xll.AIRLINE_FORESD($C$131:$C$145,1,$H$25,$H$28,$H$29,$H$26,$H$27,$F52)</f>
        <v>0.11158451204937701</v>
      </c>
      <c r="I52" s="19">
        <f>_xll.AIRLINE_FORECI($C$131:$C$145,1,$H$25,$H$28,$H$29,$H$26,$H$27,$F52,0.05,1)</f>
        <v>6.519959611402121</v>
      </c>
      <c r="J52" s="19">
        <f>_xll.AIRLINE_FORECI($C$131:$C$145,1,$H$25,$H$28,$H$29,$H$26,$H$27,$F52,0.05,0)</f>
        <v>6.0825563617036122</v>
      </c>
      <c r="K52" s="19">
        <f t="shared" si="4"/>
        <v>0.43740324969850874</v>
      </c>
      <c r="L52" s="5">
        <v>16</v>
      </c>
      <c r="M52" s="20">
        <f t="shared" si="2"/>
        <v>548.66252186152633</v>
      </c>
      <c r="O52" s="20">
        <f>EXP(I52)</f>
        <v>678.55097906336198</v>
      </c>
      <c r="P52" s="20">
        <f>EXP(J52)</f>
        <v>438.14782862237837</v>
      </c>
      <c r="Q52" s="20">
        <f t="shared" si="5"/>
        <v>240.40315044098361</v>
      </c>
    </row>
    <row r="53" spans="1:17" x14ac:dyDescent="0.25">
      <c r="A53" s="26">
        <v>19450</v>
      </c>
      <c r="B53" s="5">
        <v>235</v>
      </c>
      <c r="C53" s="19">
        <f t="shared" si="0"/>
        <v>5.4595855141441589</v>
      </c>
      <c r="D53" s="20">
        <v>216.12863189209048</v>
      </c>
      <c r="E53" s="21">
        <v>22767</v>
      </c>
      <c r="F53" s="9">
        <v>17</v>
      </c>
      <c r="G53" s="19">
        <f>_xll.AIRLINE_FORE($C$131:$C$145,1,$H$25,$H$28,$H$29,$H$26,$H$27,$F53)</f>
        <v>6.3254206888985562</v>
      </c>
      <c r="H53" s="19">
        <f>_xll.AIRLINE_FORESD($C$131:$C$145,1,$H$25,$H$28,$H$29,$H$26,$H$27,$F53)</f>
        <v>0.11686297906017976</v>
      </c>
      <c r="I53" s="19">
        <f>_xll.AIRLINE_FORECI($C$131:$C$145,1,$H$25,$H$28,$H$29,$H$26,$H$27,$F53,0.05,1)</f>
        <v>6.5544679189825672</v>
      </c>
      <c r="J53" s="19">
        <f>_xll.AIRLINE_FORECI($C$131:$C$145,1,$H$25,$H$28,$H$29,$H$26,$H$27,$F53,0.05,0)</f>
        <v>6.0963734588145453</v>
      </c>
      <c r="K53" s="19">
        <f t="shared" si="4"/>
        <v>0.45809446016802191</v>
      </c>
      <c r="L53" s="5">
        <v>17</v>
      </c>
      <c r="M53" s="20">
        <f t="shared" si="2"/>
        <v>562.42014909427314</v>
      </c>
      <c r="O53" s="20">
        <f>EXP(I53)</f>
        <v>702.3753298004026</v>
      </c>
      <c r="P53" s="20">
        <f>EXP(J53)</f>
        <v>444.24377689175674</v>
      </c>
      <c r="Q53" s="20">
        <f t="shared" si="5"/>
        <v>258.13155290864586</v>
      </c>
    </row>
    <row r="54" spans="1:17" x14ac:dyDescent="0.25">
      <c r="A54" s="26">
        <v>19480</v>
      </c>
      <c r="B54" s="5">
        <v>229</v>
      </c>
      <c r="C54" s="19">
        <f t="shared" si="0"/>
        <v>5.43372200355424</v>
      </c>
      <c r="D54" s="20">
        <v>228.42195007692999</v>
      </c>
      <c r="E54" s="21">
        <v>22798</v>
      </c>
      <c r="F54" s="9">
        <v>18</v>
      </c>
      <c r="G54" s="19">
        <f>_xll.AIRLINE_FORE($C$131:$C$145,1,$H$25,$H$28,$H$29,$H$26,$H$27,$F54)</f>
        <v>6.4512902099657898</v>
      </c>
      <c r="H54" s="19">
        <f>_xll.AIRLINE_FORESD($C$131:$C$145,1,$H$25,$H$28,$H$29,$H$26,$H$27,$F54)</f>
        <v>0.12191311832753055</v>
      </c>
      <c r="I54" s="19">
        <f>_xll.AIRLINE_FORECI($C$131:$C$145,1,$H$25,$H$28,$H$29,$H$26,$H$27,$F54,0.05,1)</f>
        <v>6.6902355311307193</v>
      </c>
      <c r="J54" s="19">
        <f>_xll.AIRLINE_FORECI($C$131:$C$145,1,$H$25,$H$28,$H$29,$H$26,$H$27,$F54,0.05,0)</f>
        <v>6.2123448888008603</v>
      </c>
      <c r="K54" s="19">
        <f t="shared" si="4"/>
        <v>0.47789064232985901</v>
      </c>
      <c r="L54" s="5">
        <v>18</v>
      </c>
      <c r="M54" s="20">
        <f t="shared" si="2"/>
        <v>638.24461195094329</v>
      </c>
      <c r="O54" s="20">
        <f>EXP(I54)</f>
        <v>804.51171738509731</v>
      </c>
      <c r="P54" s="20">
        <f>EXP(J54)</f>
        <v>498.86967475329266</v>
      </c>
      <c r="Q54" s="20">
        <f t="shared" si="5"/>
        <v>305.64204263180466</v>
      </c>
    </row>
    <row r="55" spans="1:17" x14ac:dyDescent="0.25">
      <c r="A55" s="26">
        <v>19511</v>
      </c>
      <c r="B55" s="5">
        <v>243</v>
      </c>
      <c r="C55" s="19">
        <f t="shared" si="0"/>
        <v>5.4930614433405482</v>
      </c>
      <c r="D55" s="20">
        <v>261.98122196641043</v>
      </c>
      <c r="E55" s="21">
        <v>22828</v>
      </c>
      <c r="F55" s="9">
        <v>19</v>
      </c>
      <c r="G55" s="19">
        <f>_xll.AIRLINE_FORE($C$131:$C$145,1,$H$25,$H$28,$H$29,$H$26,$H$27,$F55)</f>
        <v>6.602545315565747</v>
      </c>
      <c r="H55" s="19">
        <f>_xll.AIRLINE_FORESD($C$131:$C$145,1,$H$25,$H$28,$H$29,$H$26,$H$27,$F55)</f>
        <v>0.12676222215575472</v>
      </c>
      <c r="I55" s="19">
        <f>_xll.AIRLINE_FORECI($C$131:$C$145,1,$H$25,$H$28,$H$29,$H$26,$H$27,$F55,0.05,1)</f>
        <v>6.8509947055912912</v>
      </c>
      <c r="J55" s="19">
        <f>_xll.AIRLINE_FORECI($C$131:$C$145,1,$H$25,$H$28,$H$29,$H$26,$H$27,$F55,0.05,0)</f>
        <v>6.3540959255402027</v>
      </c>
      <c r="K55" s="19">
        <f t="shared" si="4"/>
        <v>0.49689878005108845</v>
      </c>
      <c r="L55" s="5">
        <v>19</v>
      </c>
      <c r="M55" s="20">
        <f t="shared" si="2"/>
        <v>742.91352082200228</v>
      </c>
      <c r="O55" s="20">
        <f>EXP(I55)</f>
        <v>944.82025739821506</v>
      </c>
      <c r="P55" s="20">
        <f>EXP(J55)</f>
        <v>574.84240532767899</v>
      </c>
      <c r="Q55" s="20">
        <f t="shared" si="5"/>
        <v>369.97785207053607</v>
      </c>
    </row>
    <row r="56" spans="1:17" x14ac:dyDescent="0.25">
      <c r="A56" s="26">
        <v>19541</v>
      </c>
      <c r="B56" s="5">
        <v>264</v>
      </c>
      <c r="C56" s="19">
        <f t="shared" si="0"/>
        <v>5.575949103146316</v>
      </c>
      <c r="D56" s="20">
        <v>271.79312722839819</v>
      </c>
      <c r="E56" s="21">
        <v>22859</v>
      </c>
      <c r="F56" s="9">
        <v>20</v>
      </c>
      <c r="G56" s="19">
        <f>_xll.AIRLINE_FORE($C$131:$C$145,1,$H$25,$H$28,$H$29,$H$26,$H$27,$F56)</f>
        <v>6.5770669686526659</v>
      </c>
      <c r="H56" s="19">
        <f>_xll.AIRLINE_FORESD($C$131:$C$145,1,$H$25,$H$28,$H$29,$H$26,$H$27,$F56)</f>
        <v>0.13143254357801709</v>
      </c>
      <c r="I56" s="19">
        <f>_xll.AIRLINE_FORECI($C$131:$C$145,1,$H$25,$H$28,$H$29,$H$26,$H$27,$F56,0.05,1)</f>
        <v>6.8346700204620703</v>
      </c>
      <c r="J56" s="19">
        <f>_xll.AIRLINE_FORECI($C$131:$C$145,1,$H$25,$H$28,$H$29,$H$26,$H$27,$F56,0.05,0)</f>
        <v>6.3194639168432616</v>
      </c>
      <c r="K56" s="19">
        <f t="shared" si="4"/>
        <v>0.5152061036188087</v>
      </c>
      <c r="L56" s="5">
        <v>20</v>
      </c>
      <c r="M56" s="20">
        <f t="shared" si="2"/>
        <v>724.66119284181127</v>
      </c>
      <c r="O56" s="20">
        <f>EXP(I56)</f>
        <v>929.52157701331714</v>
      </c>
      <c r="P56" s="20">
        <f>EXP(J56)</f>
        <v>555.27523894526144</v>
      </c>
      <c r="Q56" s="20">
        <f t="shared" si="5"/>
        <v>374.24633806805571</v>
      </c>
    </row>
    <row r="57" spans="1:17" x14ac:dyDescent="0.25">
      <c r="A57" s="26">
        <v>19572</v>
      </c>
      <c r="B57" s="5">
        <v>272</v>
      </c>
      <c r="C57" s="19">
        <f t="shared" si="0"/>
        <v>5.6058020662959978</v>
      </c>
      <c r="D57" s="20">
        <v>275.08188298179044</v>
      </c>
      <c r="E57" s="21">
        <v>22890</v>
      </c>
      <c r="F57" s="9">
        <v>21</v>
      </c>
      <c r="G57" s="19">
        <f>_xll.AIRLINE_FORE($C$131:$C$145,1,$H$25,$H$28,$H$29,$H$26,$H$27,$F57)</f>
        <v>6.4012501899186196</v>
      </c>
      <c r="H57" s="19">
        <f>_xll.AIRLINE_FORESD($C$131:$C$145,1,$H$25,$H$28,$H$29,$H$26,$H$27,$F57)</f>
        <v>0.13594251011699693</v>
      </c>
      <c r="I57" s="19">
        <f>_xll.AIRLINE_FORECI($C$131:$C$145,1,$H$25,$H$28,$H$29,$H$26,$H$27,$F57,0.05,1)</f>
        <v>6.6676926137159054</v>
      </c>
      <c r="J57" s="19">
        <f>_xll.AIRLINE_FORECI($C$131:$C$145,1,$H$25,$H$28,$H$29,$H$26,$H$27,$F57,0.05,0)</f>
        <v>6.1348077661213338</v>
      </c>
      <c r="K57" s="19">
        <f t="shared" si="4"/>
        <v>0.53288484759457155</v>
      </c>
      <c r="L57" s="5">
        <v>21</v>
      </c>
      <c r="M57" s="20">
        <f t="shared" si="2"/>
        <v>608.19184877807993</v>
      </c>
      <c r="O57" s="20">
        <f>EXP(I57)</f>
        <v>786.57856836670067</v>
      </c>
      <c r="P57" s="20">
        <f>EXP(J57)</f>
        <v>461.6503406529057</v>
      </c>
      <c r="Q57" s="20">
        <f t="shared" si="5"/>
        <v>324.92822771379497</v>
      </c>
    </row>
    <row r="58" spans="1:17" x14ac:dyDescent="0.25">
      <c r="A58" s="26">
        <v>19603</v>
      </c>
      <c r="B58" s="5">
        <v>237</v>
      </c>
      <c r="C58" s="19">
        <f t="shared" si="0"/>
        <v>5.4680601411351315</v>
      </c>
      <c r="D58" s="20">
        <v>243.36695670008015</v>
      </c>
      <c r="E58" s="21">
        <v>22920</v>
      </c>
      <c r="F58" s="9">
        <v>22</v>
      </c>
      <c r="G58" s="19">
        <f>_xll.AIRLINE_FORE($C$131:$C$145,1,$H$25,$H$28,$H$29,$H$26,$H$27,$F58)</f>
        <v>6.2966211381838706</v>
      </c>
      <c r="H58" s="19">
        <f>_xll.AIRLINE_FORESD($C$131:$C$145,1,$H$25,$H$28,$H$29,$H$26,$H$27,$F58)</f>
        <v>0.14030758569098203</v>
      </c>
      <c r="I58" s="19">
        <f>_xll.AIRLINE_FORECI($C$131:$C$145,1,$H$25,$H$28,$H$29,$H$26,$H$27,$F58,0.05,1)</f>
        <v>6.571618952895963</v>
      </c>
      <c r="J58" s="19">
        <f>_xll.AIRLINE_FORECI($C$131:$C$145,1,$H$25,$H$28,$H$29,$H$26,$H$27,$F58,0.05,0)</f>
        <v>6.0216233234717782</v>
      </c>
      <c r="K58" s="19">
        <f t="shared" si="4"/>
        <v>0.54999562942418478</v>
      </c>
      <c r="L58" s="5">
        <v>22</v>
      </c>
      <c r="M58" s="20">
        <f t="shared" si="2"/>
        <v>548.10356015839841</v>
      </c>
      <c r="O58" s="20">
        <f>EXP(I58)</f>
        <v>714.5256906852145</v>
      </c>
      <c r="P58" s="20">
        <f>EXP(J58)</f>
        <v>412.24726350680322</v>
      </c>
      <c r="Q58" s="20">
        <f t="shared" si="5"/>
        <v>302.27842717841128</v>
      </c>
    </row>
    <row r="59" spans="1:17" x14ac:dyDescent="0.25">
      <c r="A59" s="26">
        <v>19633</v>
      </c>
      <c r="B59" s="5">
        <v>211</v>
      </c>
      <c r="C59" s="19">
        <f t="shared" si="0"/>
        <v>5.3518581334760666</v>
      </c>
      <c r="D59" s="20">
        <v>214.30210488262645</v>
      </c>
      <c r="E59" s="21">
        <v>22951</v>
      </c>
      <c r="F59" s="9">
        <v>23</v>
      </c>
      <c r="G59" s="19">
        <f>_xll.AIRLINE_FORE($C$131:$C$145,1,$H$25,$H$28,$H$29,$H$26,$H$27,$F59)</f>
        <v>6.1485911580653863</v>
      </c>
      <c r="H59" s="19">
        <f>_xll.AIRLINE_FORESD($C$131:$C$145,1,$H$25,$H$28,$H$29,$H$26,$H$27,$F59)</f>
        <v>0.14454089783848278</v>
      </c>
      <c r="I59" s="19">
        <f>_xll.AIRLINE_FORECI($C$131:$C$145,1,$H$25,$H$28,$H$29,$H$26,$H$27,$F59,0.05,1)</f>
        <v>6.4318861121218962</v>
      </c>
      <c r="J59" s="19">
        <f>_xll.AIRLINE_FORECI($C$131:$C$145,1,$H$25,$H$28,$H$29,$H$26,$H$27,$F59,0.05,0)</f>
        <v>5.8652962040088763</v>
      </c>
      <c r="K59" s="19">
        <f t="shared" si="4"/>
        <v>0.5665899081130199</v>
      </c>
      <c r="L59" s="5">
        <v>23</v>
      </c>
      <c r="M59" s="20">
        <f t="shared" si="2"/>
        <v>472.97247463565981</v>
      </c>
      <c r="O59" s="20">
        <f>EXP(I59)</f>
        <v>621.34476941687365</v>
      </c>
      <c r="P59" s="20">
        <f>EXP(J59)</f>
        <v>352.58657819976298</v>
      </c>
      <c r="Q59" s="20">
        <f t="shared" si="5"/>
        <v>268.75819121711066</v>
      </c>
    </row>
    <row r="60" spans="1:17" x14ac:dyDescent="0.25">
      <c r="A60" s="26">
        <v>19664</v>
      </c>
      <c r="B60" s="5">
        <v>180</v>
      </c>
      <c r="C60" s="19">
        <f t="shared" si="0"/>
        <v>5.1929568508902104</v>
      </c>
      <c r="D60" s="20">
        <v>189.85605877769737</v>
      </c>
      <c r="E60" s="21">
        <v>22981</v>
      </c>
      <c r="F60" s="9">
        <v>24</v>
      </c>
      <c r="G60" s="19">
        <f>_xll.AIRLINE_FORE($C$131:$C$145,1,$H$25,$H$28,$H$29,$H$26,$H$27,$F60)</f>
        <v>6.2552463753087766</v>
      </c>
      <c r="H60" s="19">
        <f>_xll.AIRLINE_FORESD($C$131:$C$145,1,$H$25,$H$28,$H$29,$H$26,$H$27,$F60)</f>
        <v>0.14865370393460489</v>
      </c>
      <c r="I60" s="19">
        <f>_xll.AIRLINE_FORECI($C$131:$C$145,1,$H$25,$H$28,$H$29,$H$26,$H$27,$F60,0.05,1)</f>
        <v>6.5466022811890827</v>
      </c>
      <c r="J60" s="19">
        <f>_xll.AIRLINE_FORECI($C$131:$C$145,1,$H$25,$H$28,$H$29,$H$26,$H$27,$F60,0.05,0)</f>
        <v>5.9638904694284705</v>
      </c>
      <c r="K60" s="19">
        <f t="shared" si="4"/>
        <v>0.58271181176061226</v>
      </c>
      <c r="L60" s="5">
        <v>24</v>
      </c>
      <c r="M60" s="20">
        <f t="shared" si="2"/>
        <v>526.52316944844074</v>
      </c>
      <c r="O60" s="20">
        <f>EXP(I60)</f>
        <v>696.87237037544139</v>
      </c>
      <c r="P60" s="20">
        <f>EXP(J60)</f>
        <v>389.12104676951009</v>
      </c>
      <c r="Q60" s="20">
        <f t="shared" si="5"/>
        <v>307.7513236059313</v>
      </c>
    </row>
    <row r="61" spans="1:17" x14ac:dyDescent="0.25">
      <c r="A61" s="26">
        <v>19694</v>
      </c>
      <c r="B61" s="5">
        <v>201</v>
      </c>
      <c r="C61" s="19">
        <f t="shared" si="0"/>
        <v>5.3033049080590757</v>
      </c>
      <c r="D61" s="20">
        <v>210.30749188469142</v>
      </c>
      <c r="E61" s="21">
        <v>23012</v>
      </c>
      <c r="F61" s="9">
        <v>25</v>
      </c>
      <c r="G61" s="19">
        <f>_xll.AIRLINE_FORE($C$131:$C$145,1,$H$25,$H$28,$H$29,$H$26,$H$27,$F61)</f>
        <v>6.2925295460965049</v>
      </c>
      <c r="H61" s="19">
        <f>_xll.AIRLINE_FORESD($C$131:$C$145,1,$H$25,$H$28,$H$29,$H$26,$H$27,$F61)</f>
        <v>0.15886957935229867</v>
      </c>
      <c r="I61" s="19">
        <f>_xll.AIRLINE_FORECI($C$131:$C$145,1,$H$25,$H$28,$H$29,$H$26,$H$27,$F61,0.05,1)</f>
        <v>6.6039081998660389</v>
      </c>
      <c r="J61" s="19">
        <f>_xll.AIRLINE_FORECI($C$131:$C$145,1,$H$25,$H$28,$H$29,$H$26,$H$27,$F61,0.05,0)</f>
        <v>5.9811508923269709</v>
      </c>
      <c r="K61" s="19">
        <f t="shared" si="4"/>
        <v>0.62275730753906799</v>
      </c>
      <c r="L61" s="5">
        <v>25</v>
      </c>
      <c r="M61" s="20">
        <f t="shared" si="2"/>
        <v>547.38331611080673</v>
      </c>
      <c r="O61" s="20">
        <f>EXP(I61)</f>
        <v>737.97370941428835</v>
      </c>
      <c r="P61" s="20">
        <f>EXP(J61)</f>
        <v>395.89573943219909</v>
      </c>
      <c r="Q61" s="20">
        <f t="shared" si="5"/>
        <v>342.07796998208926</v>
      </c>
    </row>
    <row r="62" spans="1:17" x14ac:dyDescent="0.25">
      <c r="A62" s="26">
        <v>19725</v>
      </c>
      <c r="B62" s="5">
        <v>204</v>
      </c>
      <c r="C62" s="19">
        <f t="shared" si="0"/>
        <v>5.3181199938442161</v>
      </c>
      <c r="D62" s="20">
        <v>208.19445860641898</v>
      </c>
      <c r="E62" s="21">
        <v>23043</v>
      </c>
      <c r="F62" s="9">
        <v>26</v>
      </c>
      <c r="G62" s="19">
        <f>_xll.AIRLINE_FORE($C$131:$C$145,1,$H$25,$H$28,$H$29,$H$26,$H$27,$F62)</f>
        <v>6.2290235239182454</v>
      </c>
      <c r="H62" s="19">
        <f>_xll.AIRLINE_FORESD($C$131:$C$145,1,$H$25,$H$28,$H$29,$H$26,$H$27,$F62)</f>
        <v>0.16572020930664255</v>
      </c>
      <c r="I62" s="19">
        <f>_xll.AIRLINE_FORECI($C$131:$C$145,1,$H$25,$H$28,$H$29,$H$26,$H$27,$F62,0.05,1)</f>
        <v>6.5538291656697041</v>
      </c>
      <c r="J62" s="19">
        <f>_xll.AIRLINE_FORECI($C$131:$C$145,1,$H$25,$H$28,$H$29,$H$26,$H$27,$F62,0.05,0)</f>
        <v>5.9042178821667868</v>
      </c>
      <c r="K62" s="19">
        <f t="shared" si="4"/>
        <v>0.6496112835029173</v>
      </c>
      <c r="L62" s="5">
        <v>26</v>
      </c>
      <c r="M62" s="20">
        <f t="shared" si="2"/>
        <v>514.27344481727971</v>
      </c>
      <c r="O62" s="20">
        <f>EXP(I62)</f>
        <v>701.92682848771824</v>
      </c>
      <c r="P62" s="20">
        <f>EXP(J62)</f>
        <v>366.58040456637372</v>
      </c>
      <c r="Q62" s="20">
        <f t="shared" si="5"/>
        <v>335.34642392134452</v>
      </c>
    </row>
    <row r="63" spans="1:17" x14ac:dyDescent="0.25">
      <c r="A63" s="26">
        <v>19756</v>
      </c>
      <c r="B63" s="5">
        <v>188</v>
      </c>
      <c r="C63" s="19">
        <f t="shared" si="0"/>
        <v>5.2364419628299492</v>
      </c>
      <c r="D63" s="20">
        <v>210.60060161038746</v>
      </c>
      <c r="E63" s="21">
        <v>23071</v>
      </c>
      <c r="F63" s="9">
        <v>27</v>
      </c>
      <c r="G63" s="19">
        <f>_xll.AIRLINE_FORE($C$131:$C$145,1,$H$25,$H$28,$H$29,$H$26,$H$27,$F63)</f>
        <v>6.299059523490194</v>
      </c>
      <c r="H63" s="19">
        <f>_xll.AIRLINE_FORESD($C$131:$C$145,1,$H$25,$H$28,$H$29,$H$26,$H$27,$F63)</f>
        <v>0.17229867179319319</v>
      </c>
      <c r="I63" s="19">
        <f>_xll.AIRLINE_FORECI($C$131:$C$145,1,$H$25,$H$28,$H$29,$H$26,$H$27,$F63,0.05,1)</f>
        <v>6.6367587147889395</v>
      </c>
      <c r="J63" s="19">
        <f>_xll.AIRLINE_FORECI($C$131:$C$145,1,$H$25,$H$28,$H$29,$H$26,$H$27,$F63,0.05,0)</f>
        <v>5.9613603321914486</v>
      </c>
      <c r="K63" s="19">
        <f t="shared" si="4"/>
        <v>0.67539838259749096</v>
      </c>
      <c r="L63" s="5">
        <v>27</v>
      </c>
      <c r="M63" s="20">
        <f t="shared" si="2"/>
        <v>552.19593590301838</v>
      </c>
      <c r="O63" s="20">
        <f>EXP(I63)</f>
        <v>762.6191166125127</v>
      </c>
      <c r="P63" s="20">
        <f>EXP(J63)</f>
        <v>388.13776156717148</v>
      </c>
      <c r="Q63" s="20">
        <f t="shared" si="5"/>
        <v>374.48135504534122</v>
      </c>
    </row>
    <row r="64" spans="1:17" x14ac:dyDescent="0.25">
      <c r="A64" s="26">
        <v>19784</v>
      </c>
      <c r="B64" s="5">
        <v>235</v>
      </c>
      <c r="C64" s="19">
        <f t="shared" si="0"/>
        <v>5.4595855141441589</v>
      </c>
      <c r="D64" s="20">
        <v>228.96667908381957</v>
      </c>
    </row>
    <row r="65" spans="1:4" x14ac:dyDescent="0.25">
      <c r="A65" s="26">
        <v>19815</v>
      </c>
      <c r="B65" s="5">
        <v>227</v>
      </c>
      <c r="C65" s="19">
        <f t="shared" si="0"/>
        <v>5.4249500174814029</v>
      </c>
      <c r="D65" s="20">
        <v>225.47662155474981</v>
      </c>
    </row>
    <row r="66" spans="1:4" x14ac:dyDescent="0.25">
      <c r="A66" s="26">
        <v>19845</v>
      </c>
      <c r="B66" s="5">
        <v>234</v>
      </c>
      <c r="C66" s="19">
        <f t="shared" si="0"/>
        <v>5.4553211153577017</v>
      </c>
      <c r="D66" s="20">
        <v>223.83212511167355</v>
      </c>
    </row>
    <row r="67" spans="1:4" x14ac:dyDescent="0.25">
      <c r="A67" s="26">
        <v>19876</v>
      </c>
      <c r="B67" s="5">
        <v>264</v>
      </c>
      <c r="C67" s="19">
        <f t="shared" ref="C67:C130" si="6">LN(B67)</f>
        <v>5.575949103146316</v>
      </c>
      <c r="D67" s="20">
        <v>252.18188560417605</v>
      </c>
    </row>
    <row r="68" spans="1:4" x14ac:dyDescent="0.25">
      <c r="A68" s="26">
        <v>19906</v>
      </c>
      <c r="B68" s="5">
        <v>302</v>
      </c>
      <c r="C68" s="19">
        <f t="shared" si="6"/>
        <v>5.7104270173748697</v>
      </c>
      <c r="D68" s="20">
        <v>281.18795423700107</v>
      </c>
    </row>
    <row r="69" spans="1:4" x14ac:dyDescent="0.25">
      <c r="A69" s="26">
        <v>19937</v>
      </c>
      <c r="B69" s="5">
        <v>293</v>
      </c>
      <c r="C69" s="19">
        <f t="shared" si="6"/>
        <v>5.6801726090170677</v>
      </c>
      <c r="D69" s="20">
        <v>301.99110280825835</v>
      </c>
    </row>
    <row r="70" spans="1:4" x14ac:dyDescent="0.25">
      <c r="A70" s="26">
        <v>19968</v>
      </c>
      <c r="B70" s="5">
        <v>259</v>
      </c>
      <c r="C70" s="19">
        <f t="shared" si="6"/>
        <v>5.5568280616995374</v>
      </c>
      <c r="D70" s="20">
        <v>261.11842963487618</v>
      </c>
    </row>
    <row r="71" spans="1:4" x14ac:dyDescent="0.25">
      <c r="A71" s="26">
        <v>19998</v>
      </c>
      <c r="B71" s="5">
        <v>229</v>
      </c>
      <c r="C71" s="19">
        <f t="shared" si="6"/>
        <v>5.43372200355424</v>
      </c>
      <c r="D71" s="20">
        <v>231.89641030129266</v>
      </c>
    </row>
    <row r="72" spans="1:4" x14ac:dyDescent="0.25">
      <c r="A72" s="26">
        <v>20029</v>
      </c>
      <c r="B72" s="5">
        <v>203</v>
      </c>
      <c r="C72" s="19">
        <f t="shared" si="6"/>
        <v>5.3132059790417872</v>
      </c>
      <c r="D72" s="20">
        <v>200.55047760227143</v>
      </c>
    </row>
    <row r="73" spans="1:4" x14ac:dyDescent="0.25">
      <c r="A73" s="26">
        <v>20059</v>
      </c>
      <c r="B73" s="5">
        <v>229</v>
      </c>
      <c r="C73" s="19">
        <f t="shared" si="6"/>
        <v>5.43372200355424</v>
      </c>
      <c r="D73" s="20">
        <v>227.91336458990023</v>
      </c>
    </row>
    <row r="74" spans="1:4" x14ac:dyDescent="0.25">
      <c r="A74" s="26">
        <v>20090</v>
      </c>
      <c r="B74" s="5">
        <v>242</v>
      </c>
      <c r="C74" s="19">
        <f t="shared" si="6"/>
        <v>5.4889377261566867</v>
      </c>
      <c r="D74" s="20">
        <v>232.17368053787629</v>
      </c>
    </row>
    <row r="75" spans="1:4" x14ac:dyDescent="0.25">
      <c r="A75" s="26">
        <v>20121</v>
      </c>
      <c r="B75" s="5">
        <v>233</v>
      </c>
      <c r="C75" s="19">
        <f t="shared" si="6"/>
        <v>5.4510384535657002</v>
      </c>
      <c r="D75" s="20">
        <v>229.69125735891527</v>
      </c>
    </row>
    <row r="76" spans="1:4" x14ac:dyDescent="0.25">
      <c r="A76" s="26">
        <v>20149</v>
      </c>
      <c r="B76" s="5">
        <v>267</v>
      </c>
      <c r="C76" s="19">
        <f t="shared" si="6"/>
        <v>5.5872486584002496</v>
      </c>
      <c r="D76" s="20">
        <v>280.35354887439991</v>
      </c>
    </row>
    <row r="77" spans="1:4" x14ac:dyDescent="0.25">
      <c r="A77" s="26">
        <v>20180</v>
      </c>
      <c r="B77" s="5">
        <v>269</v>
      </c>
      <c r="C77" s="19">
        <f t="shared" si="6"/>
        <v>5.5947113796018391</v>
      </c>
      <c r="D77" s="20">
        <v>263.77096317461763</v>
      </c>
    </row>
    <row r="78" spans="1:4" x14ac:dyDescent="0.25">
      <c r="A78" s="26">
        <v>20210</v>
      </c>
      <c r="B78" s="5">
        <v>270</v>
      </c>
      <c r="C78" s="19">
        <f t="shared" si="6"/>
        <v>5.598421958998375</v>
      </c>
      <c r="D78" s="20">
        <v>270.09488656088359</v>
      </c>
    </row>
    <row r="79" spans="1:4" x14ac:dyDescent="0.25">
      <c r="A79" s="26">
        <v>20241</v>
      </c>
      <c r="B79" s="5">
        <v>315</v>
      </c>
      <c r="C79" s="19">
        <f t="shared" si="6"/>
        <v>5.7525726388256331</v>
      </c>
      <c r="D79" s="20">
        <v>301.09445767493537</v>
      </c>
    </row>
    <row r="80" spans="1:4" x14ac:dyDescent="0.25">
      <c r="A80" s="26">
        <v>20271</v>
      </c>
      <c r="B80" s="5">
        <v>364</v>
      </c>
      <c r="C80" s="19">
        <f t="shared" si="6"/>
        <v>5.8971538676367405</v>
      </c>
      <c r="D80" s="20">
        <v>345.63086603238429</v>
      </c>
    </row>
    <row r="81" spans="1:4" x14ac:dyDescent="0.25">
      <c r="A81" s="26">
        <v>20302</v>
      </c>
      <c r="B81" s="5">
        <v>347</v>
      </c>
      <c r="C81" s="19">
        <f t="shared" si="6"/>
        <v>5.8493247799468593</v>
      </c>
      <c r="D81" s="20">
        <v>355.00771401333532</v>
      </c>
    </row>
    <row r="82" spans="1:4" x14ac:dyDescent="0.25">
      <c r="A82" s="26">
        <v>20333</v>
      </c>
      <c r="B82" s="5">
        <v>312</v>
      </c>
      <c r="C82" s="19">
        <f t="shared" si="6"/>
        <v>5.7430031878094825</v>
      </c>
      <c r="D82" s="20">
        <v>309.14610933974819</v>
      </c>
    </row>
    <row r="83" spans="1:4" x14ac:dyDescent="0.25">
      <c r="A83" s="26">
        <v>20363</v>
      </c>
      <c r="B83" s="5">
        <v>274</v>
      </c>
      <c r="C83" s="19">
        <f t="shared" si="6"/>
        <v>5.6131281063880705</v>
      </c>
      <c r="D83" s="20">
        <v>276.00318845637526</v>
      </c>
    </row>
    <row r="84" spans="1:4" x14ac:dyDescent="0.25">
      <c r="A84" s="26">
        <v>20394</v>
      </c>
      <c r="B84" s="5">
        <v>237</v>
      </c>
      <c r="C84" s="19">
        <f t="shared" si="6"/>
        <v>5.4680601411351315</v>
      </c>
      <c r="D84" s="20">
        <v>241.83373788093971</v>
      </c>
    </row>
    <row r="85" spans="1:4" x14ac:dyDescent="0.25">
      <c r="A85" s="26">
        <v>20424</v>
      </c>
      <c r="B85" s="5">
        <v>278</v>
      </c>
      <c r="C85" s="19">
        <f t="shared" si="6"/>
        <v>5.6276211136906369</v>
      </c>
      <c r="D85" s="20">
        <v>269.73102765190276</v>
      </c>
    </row>
    <row r="86" spans="1:4" x14ac:dyDescent="0.25">
      <c r="A86" s="26">
        <v>20455</v>
      </c>
      <c r="B86" s="5">
        <v>284</v>
      </c>
      <c r="C86" s="19">
        <f t="shared" si="6"/>
        <v>5.6489742381612063</v>
      </c>
      <c r="D86" s="20">
        <v>285.16576150719413</v>
      </c>
    </row>
    <row r="87" spans="1:4" x14ac:dyDescent="0.25">
      <c r="A87" s="26">
        <v>20486</v>
      </c>
      <c r="B87" s="5">
        <v>277</v>
      </c>
      <c r="C87" s="19">
        <f t="shared" si="6"/>
        <v>5.6240175061873385</v>
      </c>
      <c r="D87" s="20">
        <v>274.34752242224971</v>
      </c>
    </row>
    <row r="88" spans="1:4" x14ac:dyDescent="0.25">
      <c r="A88" s="26">
        <v>20515</v>
      </c>
      <c r="B88" s="5">
        <v>317</v>
      </c>
      <c r="C88" s="19">
        <f t="shared" si="6"/>
        <v>5.7589017738772803</v>
      </c>
      <c r="D88" s="20">
        <v>323.99830781611973</v>
      </c>
    </row>
    <row r="89" spans="1:4" x14ac:dyDescent="0.25">
      <c r="A89" s="26">
        <v>20546</v>
      </c>
      <c r="B89" s="5">
        <v>313</v>
      </c>
      <c r="C89" s="19">
        <f t="shared" si="6"/>
        <v>5.7462031905401529</v>
      </c>
      <c r="D89" s="20">
        <v>316.73676315189914</v>
      </c>
    </row>
    <row r="90" spans="1:4" x14ac:dyDescent="0.25">
      <c r="A90" s="26">
        <v>20576</v>
      </c>
      <c r="B90" s="5">
        <v>318</v>
      </c>
      <c r="C90" s="19">
        <f t="shared" si="6"/>
        <v>5.7620513827801769</v>
      </c>
      <c r="D90" s="20">
        <v>317.00992546066516</v>
      </c>
    </row>
    <row r="91" spans="1:4" x14ac:dyDescent="0.25">
      <c r="A91" s="26">
        <v>20607</v>
      </c>
      <c r="B91" s="5">
        <v>374</v>
      </c>
      <c r="C91" s="19">
        <f t="shared" si="6"/>
        <v>5.9242557974145322</v>
      </c>
      <c r="D91" s="20">
        <v>363.27164141403551</v>
      </c>
    </row>
    <row r="92" spans="1:4" x14ac:dyDescent="0.25">
      <c r="A92" s="26">
        <v>20637</v>
      </c>
      <c r="B92" s="5">
        <v>413</v>
      </c>
      <c r="C92" s="19">
        <f t="shared" si="6"/>
        <v>6.0234475929610332</v>
      </c>
      <c r="D92" s="20">
        <v>420.90552106463809</v>
      </c>
    </row>
    <row r="93" spans="1:4" x14ac:dyDescent="0.25">
      <c r="A93" s="26">
        <v>20668</v>
      </c>
      <c r="B93" s="5">
        <v>405</v>
      </c>
      <c r="C93" s="19">
        <f t="shared" si="6"/>
        <v>6.0038870671065387</v>
      </c>
      <c r="D93" s="20">
        <v>404.83087777295822</v>
      </c>
    </row>
    <row r="94" spans="1:4" x14ac:dyDescent="0.25">
      <c r="A94" s="26">
        <v>20699</v>
      </c>
      <c r="B94" s="5">
        <v>355</v>
      </c>
      <c r="C94" s="19">
        <f t="shared" si="6"/>
        <v>5.872117789475416</v>
      </c>
      <c r="D94" s="20">
        <v>361.19054158515445</v>
      </c>
    </row>
    <row r="95" spans="1:4" x14ac:dyDescent="0.25">
      <c r="A95" s="26">
        <v>20729</v>
      </c>
      <c r="B95" s="5">
        <v>306</v>
      </c>
      <c r="C95" s="19">
        <f t="shared" si="6"/>
        <v>5.7235851019523807</v>
      </c>
      <c r="D95" s="20">
        <v>315.65922753562955</v>
      </c>
    </row>
    <row r="96" spans="1:4" x14ac:dyDescent="0.25">
      <c r="A96" s="26">
        <v>20760</v>
      </c>
      <c r="B96" s="5">
        <v>271</v>
      </c>
      <c r="C96" s="19">
        <f t="shared" si="6"/>
        <v>5.602118820879701</v>
      </c>
      <c r="D96" s="20">
        <v>270.25339749812741</v>
      </c>
    </row>
    <row r="97" spans="1:4" x14ac:dyDescent="0.25">
      <c r="A97" s="26">
        <v>20790</v>
      </c>
      <c r="B97" s="5">
        <v>306</v>
      </c>
      <c r="C97" s="19">
        <f t="shared" si="6"/>
        <v>5.7235851019523807</v>
      </c>
      <c r="D97" s="20">
        <v>312.22780801457122</v>
      </c>
    </row>
    <row r="98" spans="1:4" x14ac:dyDescent="0.25">
      <c r="A98" s="26">
        <v>20821</v>
      </c>
      <c r="B98" s="5">
        <v>315</v>
      </c>
      <c r="C98" s="19">
        <f t="shared" si="6"/>
        <v>5.7525726388256331</v>
      </c>
      <c r="D98" s="20">
        <v>317.67160006866442</v>
      </c>
    </row>
    <row r="99" spans="1:4" x14ac:dyDescent="0.25">
      <c r="A99" s="26">
        <v>20852</v>
      </c>
      <c r="B99" s="5">
        <v>301</v>
      </c>
      <c r="C99" s="19">
        <f t="shared" si="6"/>
        <v>5.7071102647488754</v>
      </c>
      <c r="D99" s="20">
        <v>306.86746897776391</v>
      </c>
    </row>
    <row r="100" spans="1:4" x14ac:dyDescent="0.25">
      <c r="A100" s="26">
        <v>20880</v>
      </c>
      <c r="B100" s="5">
        <v>356</v>
      </c>
      <c r="C100" s="19">
        <f t="shared" si="6"/>
        <v>5.8749307308520304</v>
      </c>
      <c r="D100" s="20">
        <v>351.3474930471952</v>
      </c>
    </row>
    <row r="101" spans="1:4" x14ac:dyDescent="0.25">
      <c r="A101" s="26">
        <v>20911</v>
      </c>
      <c r="B101" s="5">
        <v>348</v>
      </c>
      <c r="C101" s="19">
        <f t="shared" si="6"/>
        <v>5.8522024797744745</v>
      </c>
      <c r="D101" s="20">
        <v>350.11342112290515</v>
      </c>
    </row>
    <row r="102" spans="1:4" x14ac:dyDescent="0.25">
      <c r="A102" s="26">
        <v>20941</v>
      </c>
      <c r="B102" s="5">
        <v>355</v>
      </c>
      <c r="C102" s="19">
        <f t="shared" si="6"/>
        <v>5.872117789475416</v>
      </c>
      <c r="D102" s="20">
        <v>353.29271299481172</v>
      </c>
    </row>
    <row r="103" spans="1:4" x14ac:dyDescent="0.25">
      <c r="A103" s="26">
        <v>20972</v>
      </c>
      <c r="B103" s="5">
        <v>422</v>
      </c>
      <c r="C103" s="19">
        <f t="shared" si="6"/>
        <v>6.045005314036012</v>
      </c>
      <c r="D103" s="20">
        <v>411.70194922228757</v>
      </c>
    </row>
    <row r="104" spans="1:4" x14ac:dyDescent="0.25">
      <c r="A104" s="26">
        <v>21002</v>
      </c>
      <c r="B104" s="5">
        <v>465</v>
      </c>
      <c r="C104" s="19">
        <f t="shared" si="6"/>
        <v>6.1420374055873559</v>
      </c>
      <c r="D104" s="20">
        <v>467.75485306820758</v>
      </c>
    </row>
    <row r="105" spans="1:4" x14ac:dyDescent="0.25">
      <c r="A105" s="26">
        <v>21033</v>
      </c>
      <c r="B105" s="5">
        <v>467</v>
      </c>
      <c r="C105" s="19">
        <f t="shared" si="6"/>
        <v>6.1463292576688975</v>
      </c>
      <c r="D105" s="20">
        <v>455.56910973099525</v>
      </c>
    </row>
    <row r="106" spans="1:4" x14ac:dyDescent="0.25">
      <c r="A106" s="26">
        <v>21064</v>
      </c>
      <c r="B106" s="5">
        <v>404</v>
      </c>
      <c r="C106" s="19">
        <f t="shared" si="6"/>
        <v>6.0014148779611505</v>
      </c>
      <c r="D106" s="20">
        <v>408.3974196624286</v>
      </c>
    </row>
    <row r="107" spans="1:4" x14ac:dyDescent="0.25">
      <c r="A107" s="26">
        <v>21094</v>
      </c>
      <c r="B107" s="5">
        <v>347</v>
      </c>
      <c r="C107" s="19">
        <f t="shared" si="6"/>
        <v>5.8493247799468593</v>
      </c>
      <c r="D107" s="20">
        <v>353.62931131034276</v>
      </c>
    </row>
    <row r="108" spans="1:4" x14ac:dyDescent="0.25">
      <c r="A108" s="26">
        <v>21125</v>
      </c>
      <c r="B108" s="5">
        <v>305</v>
      </c>
      <c r="C108" s="19">
        <f t="shared" si="6"/>
        <v>5.7203117766074119</v>
      </c>
      <c r="D108" s="20">
        <v>307.6880484340877</v>
      </c>
    </row>
    <row r="109" spans="1:4" x14ac:dyDescent="0.25">
      <c r="A109" s="26">
        <v>21155</v>
      </c>
      <c r="B109" s="5">
        <v>336</v>
      </c>
      <c r="C109" s="19">
        <f t="shared" si="6"/>
        <v>5.8171111599632042</v>
      </c>
      <c r="D109" s="20">
        <v>349.0282754537775</v>
      </c>
    </row>
    <row r="110" spans="1:4" x14ac:dyDescent="0.25">
      <c r="A110" s="26">
        <v>21186</v>
      </c>
      <c r="B110" s="5">
        <v>340</v>
      </c>
      <c r="C110" s="19">
        <f t="shared" si="6"/>
        <v>5.8289456176102075</v>
      </c>
      <c r="D110" s="20">
        <v>351.52307138195818</v>
      </c>
    </row>
    <row r="111" spans="1:4" x14ac:dyDescent="0.25">
      <c r="A111" s="26">
        <v>21217</v>
      </c>
      <c r="B111" s="5">
        <v>318</v>
      </c>
      <c r="C111" s="19">
        <f t="shared" si="6"/>
        <v>5.7620513827801769</v>
      </c>
      <c r="D111" s="20">
        <v>331.84222735291235</v>
      </c>
    </row>
    <row r="112" spans="1:4" x14ac:dyDescent="0.25">
      <c r="A112" s="26">
        <v>21245</v>
      </c>
      <c r="B112" s="5">
        <v>362</v>
      </c>
      <c r="C112" s="19">
        <f t="shared" si="6"/>
        <v>5.8916442118257715</v>
      </c>
      <c r="D112" s="20">
        <v>379.38479438636057</v>
      </c>
    </row>
    <row r="113" spans="1:4" x14ac:dyDescent="0.25">
      <c r="A113" s="26">
        <v>21276</v>
      </c>
      <c r="B113" s="5">
        <v>348</v>
      </c>
      <c r="C113" s="19">
        <f t="shared" si="6"/>
        <v>5.8522024797744745</v>
      </c>
      <c r="D113" s="20">
        <v>362.80977854117282</v>
      </c>
    </row>
    <row r="114" spans="1:4" x14ac:dyDescent="0.25">
      <c r="A114" s="26">
        <v>21306</v>
      </c>
      <c r="B114" s="5">
        <v>363</v>
      </c>
      <c r="C114" s="19">
        <f t="shared" si="6"/>
        <v>5.8944028342648505</v>
      </c>
      <c r="D114" s="20">
        <v>360.15747931531223</v>
      </c>
    </row>
    <row r="115" spans="1:4" x14ac:dyDescent="0.25">
      <c r="A115" s="26">
        <v>21337</v>
      </c>
      <c r="B115" s="5">
        <v>435</v>
      </c>
      <c r="C115" s="19">
        <f t="shared" si="6"/>
        <v>6.0753460310886842</v>
      </c>
      <c r="D115" s="20">
        <v>425.92373464556954</v>
      </c>
    </row>
    <row r="116" spans="1:4" x14ac:dyDescent="0.25">
      <c r="A116" s="26">
        <v>21367</v>
      </c>
      <c r="B116" s="5">
        <v>491</v>
      </c>
      <c r="C116" s="19">
        <f t="shared" si="6"/>
        <v>6.1964441277945204</v>
      </c>
      <c r="D116" s="20">
        <v>478.68720816958319</v>
      </c>
    </row>
    <row r="117" spans="1:4" x14ac:dyDescent="0.25">
      <c r="A117" s="26">
        <v>21398</v>
      </c>
      <c r="B117" s="5">
        <v>505</v>
      </c>
      <c r="C117" s="19">
        <f t="shared" si="6"/>
        <v>6.2245584292753602</v>
      </c>
      <c r="D117" s="20">
        <v>482.20932586496315</v>
      </c>
    </row>
    <row r="118" spans="1:4" x14ac:dyDescent="0.25">
      <c r="A118" s="26">
        <v>21429</v>
      </c>
      <c r="B118" s="5">
        <v>404</v>
      </c>
      <c r="C118" s="19">
        <f t="shared" si="6"/>
        <v>6.0014148779611505</v>
      </c>
      <c r="D118" s="20">
        <v>432.69665499910224</v>
      </c>
    </row>
    <row r="119" spans="1:4" x14ac:dyDescent="0.25">
      <c r="A119" s="26">
        <v>21459</v>
      </c>
      <c r="B119" s="5">
        <v>359</v>
      </c>
      <c r="C119" s="19">
        <f t="shared" si="6"/>
        <v>5.8833223884882786</v>
      </c>
      <c r="D119" s="20">
        <v>359.46387748748441</v>
      </c>
    </row>
    <row r="120" spans="1:4" x14ac:dyDescent="0.25">
      <c r="A120" s="26">
        <v>21490</v>
      </c>
      <c r="B120" s="5">
        <v>310</v>
      </c>
      <c r="C120" s="19">
        <f t="shared" si="6"/>
        <v>5.7365722974791922</v>
      </c>
      <c r="D120" s="20">
        <v>315.93256515392903</v>
      </c>
    </row>
    <row r="121" spans="1:4" x14ac:dyDescent="0.25">
      <c r="A121" s="26">
        <v>21520</v>
      </c>
      <c r="B121" s="5">
        <v>337</v>
      </c>
      <c r="C121" s="19">
        <f t="shared" si="6"/>
        <v>5.8200829303523616</v>
      </c>
      <c r="D121" s="20">
        <v>349.59748873581941</v>
      </c>
    </row>
    <row r="122" spans="1:4" x14ac:dyDescent="0.25">
      <c r="A122" s="26">
        <v>21551</v>
      </c>
      <c r="B122" s="5">
        <v>360</v>
      </c>
      <c r="C122" s="19">
        <f t="shared" si="6"/>
        <v>5.8861040314501558</v>
      </c>
      <c r="D122" s="20">
        <v>349.05950480127728</v>
      </c>
    </row>
    <row r="123" spans="1:4" x14ac:dyDescent="0.25">
      <c r="A123" s="26">
        <v>21582</v>
      </c>
      <c r="B123" s="5">
        <v>342</v>
      </c>
      <c r="C123" s="19">
        <f t="shared" si="6"/>
        <v>5.8348107370626048</v>
      </c>
      <c r="D123" s="20">
        <v>336.74637770798137</v>
      </c>
    </row>
    <row r="124" spans="1:4" x14ac:dyDescent="0.25">
      <c r="A124" s="26">
        <v>21610</v>
      </c>
      <c r="B124" s="5">
        <v>406</v>
      </c>
      <c r="C124" s="19">
        <f t="shared" si="6"/>
        <v>6.0063531596017325</v>
      </c>
      <c r="D124" s="20">
        <v>391.94785938328039</v>
      </c>
    </row>
    <row r="125" spans="1:4" x14ac:dyDescent="0.25">
      <c r="A125" s="26">
        <v>21641</v>
      </c>
      <c r="B125" s="5">
        <v>396</v>
      </c>
      <c r="C125" s="19">
        <f t="shared" si="6"/>
        <v>5.9814142112544806</v>
      </c>
      <c r="D125" s="20">
        <v>388.50025305289392</v>
      </c>
    </row>
    <row r="126" spans="1:4" x14ac:dyDescent="0.25">
      <c r="A126" s="26">
        <v>21671</v>
      </c>
      <c r="B126" s="5">
        <v>420</v>
      </c>
      <c r="C126" s="19">
        <f t="shared" si="6"/>
        <v>6.0402547112774139</v>
      </c>
      <c r="D126" s="20">
        <v>405.35374248701049</v>
      </c>
    </row>
    <row r="127" spans="1:4" x14ac:dyDescent="0.25">
      <c r="A127" s="26">
        <v>21702</v>
      </c>
      <c r="B127" s="5">
        <v>472</v>
      </c>
      <c r="C127" s="19">
        <f t="shared" si="6"/>
        <v>6.156978985585555</v>
      </c>
      <c r="D127" s="20">
        <v>492.16049796453308</v>
      </c>
    </row>
    <row r="128" spans="1:4" x14ac:dyDescent="0.25">
      <c r="A128" s="26">
        <v>21732</v>
      </c>
      <c r="B128" s="5">
        <v>548</v>
      </c>
      <c r="C128" s="19">
        <f t="shared" si="6"/>
        <v>6.3062752869480159</v>
      </c>
      <c r="D128" s="20">
        <v>538.32784592572375</v>
      </c>
    </row>
    <row r="129" spans="1:4" x14ac:dyDescent="0.25">
      <c r="A129" s="26">
        <v>21763</v>
      </c>
      <c r="B129" s="5">
        <v>559</v>
      </c>
      <c r="C129" s="19">
        <f t="shared" si="6"/>
        <v>6.3261494731550991</v>
      </c>
      <c r="D129" s="20">
        <v>550.87421807434282</v>
      </c>
    </row>
    <row r="130" spans="1:4" x14ac:dyDescent="0.25">
      <c r="A130" s="26">
        <v>21794</v>
      </c>
      <c r="B130" s="5">
        <v>463</v>
      </c>
      <c r="C130" s="19">
        <f t="shared" si="6"/>
        <v>6.1377270540862341</v>
      </c>
      <c r="D130" s="20">
        <v>462.23601729670304</v>
      </c>
    </row>
    <row r="131" spans="1:4" x14ac:dyDescent="0.25">
      <c r="A131" s="26">
        <v>21824</v>
      </c>
      <c r="B131" s="5">
        <v>407</v>
      </c>
      <c r="C131" s="19">
        <f t="shared" ref="C131:C145" si="7">LN(B131)</f>
        <v>6.0088131854425946</v>
      </c>
      <c r="D131" s="20">
        <v>406.32091532163065</v>
      </c>
    </row>
    <row r="132" spans="1:4" x14ac:dyDescent="0.25">
      <c r="A132" s="26">
        <v>21855</v>
      </c>
      <c r="B132" s="5">
        <v>362</v>
      </c>
      <c r="C132" s="19">
        <f t="shared" si="7"/>
        <v>5.8916442118257715</v>
      </c>
      <c r="D132" s="20">
        <v>354.18058488924459</v>
      </c>
    </row>
    <row r="133" spans="1:4" x14ac:dyDescent="0.25">
      <c r="A133" s="26">
        <v>21885</v>
      </c>
      <c r="B133" s="5">
        <v>405</v>
      </c>
      <c r="C133" s="19">
        <f t="shared" si="7"/>
        <v>6.0038870671065387</v>
      </c>
      <c r="D133" s="20">
        <v>395.07570094371141</v>
      </c>
    </row>
    <row r="134" spans="1:4" x14ac:dyDescent="0.25">
      <c r="A134" s="26">
        <v>21916</v>
      </c>
      <c r="B134" s="5">
        <v>417</v>
      </c>
      <c r="C134" s="19">
        <f t="shared" si="7"/>
        <v>6.0330862217988015</v>
      </c>
      <c r="D134" s="20">
        <v>419.6504860499175</v>
      </c>
    </row>
    <row r="135" spans="1:4" x14ac:dyDescent="0.25">
      <c r="A135" s="26">
        <v>21947</v>
      </c>
      <c r="B135" s="5">
        <v>391</v>
      </c>
      <c r="C135" s="19">
        <f t="shared" si="7"/>
        <v>5.9687075599853658</v>
      </c>
      <c r="D135" s="20">
        <v>396.8555996532512</v>
      </c>
    </row>
    <row r="136" spans="1:4" x14ac:dyDescent="0.25">
      <c r="A136" s="26">
        <v>21976</v>
      </c>
      <c r="B136" s="5">
        <v>419</v>
      </c>
      <c r="C136" s="19">
        <f t="shared" si="7"/>
        <v>6.0378709199221374</v>
      </c>
      <c r="D136" s="20">
        <v>461.28323210850959</v>
      </c>
    </row>
    <row r="137" spans="1:4" x14ac:dyDescent="0.25">
      <c r="A137" s="26">
        <v>22007</v>
      </c>
      <c r="B137" s="5">
        <v>461</v>
      </c>
      <c r="C137" s="19">
        <f t="shared" si="7"/>
        <v>6.1333980429966486</v>
      </c>
      <c r="D137" s="20">
        <v>424.69203236378718</v>
      </c>
    </row>
    <row r="138" spans="1:4" x14ac:dyDescent="0.25">
      <c r="A138" s="26">
        <v>22037</v>
      </c>
      <c r="B138" s="5">
        <v>472</v>
      </c>
      <c r="C138" s="19">
        <f t="shared" si="7"/>
        <v>6.156978985585555</v>
      </c>
      <c r="D138" s="20">
        <v>466.90987683635865</v>
      </c>
    </row>
    <row r="139" spans="1:4" x14ac:dyDescent="0.25">
      <c r="A139" s="26">
        <v>22068</v>
      </c>
      <c r="B139" s="5">
        <v>535</v>
      </c>
      <c r="C139" s="19">
        <f t="shared" si="7"/>
        <v>6.2822667468960063</v>
      </c>
      <c r="D139" s="20">
        <v>541.60086904337766</v>
      </c>
    </row>
    <row r="140" spans="1:4" x14ac:dyDescent="0.25">
      <c r="A140" s="26">
        <v>22098</v>
      </c>
      <c r="B140" s="5">
        <v>622</v>
      </c>
      <c r="C140" s="19">
        <f t="shared" si="7"/>
        <v>6.4329400927391793</v>
      </c>
      <c r="D140" s="20">
        <v>614.84487704324874</v>
      </c>
    </row>
    <row r="141" spans="1:4" x14ac:dyDescent="0.25">
      <c r="A141" s="26">
        <v>22129</v>
      </c>
      <c r="B141" s="5">
        <v>606</v>
      </c>
      <c r="C141" s="19">
        <f t="shared" si="7"/>
        <v>6.4068799860693142</v>
      </c>
      <c r="D141" s="20">
        <v>629.60120289298516</v>
      </c>
    </row>
    <row r="142" spans="1:4" x14ac:dyDescent="0.25">
      <c r="A142" s="26">
        <v>22160</v>
      </c>
      <c r="B142" s="5">
        <v>508</v>
      </c>
      <c r="C142" s="19">
        <f t="shared" si="7"/>
        <v>6.230481447578482</v>
      </c>
      <c r="D142" s="20">
        <v>511.14652181362936</v>
      </c>
    </row>
    <row r="143" spans="1:4" x14ac:dyDescent="0.25">
      <c r="A143" s="26">
        <v>22190</v>
      </c>
      <c r="B143" s="5">
        <v>461</v>
      </c>
      <c r="C143" s="19">
        <f t="shared" si="7"/>
        <v>6.1333980429966486</v>
      </c>
      <c r="D143" s="20">
        <v>447.64472470043029</v>
      </c>
    </row>
    <row r="144" spans="1:4" x14ac:dyDescent="0.25">
      <c r="A144" s="26">
        <v>22221</v>
      </c>
      <c r="B144" s="5">
        <v>390</v>
      </c>
      <c r="C144" s="19">
        <f t="shared" si="7"/>
        <v>5.9661467391236922</v>
      </c>
      <c r="D144" s="20">
        <v>401.37800130350661</v>
      </c>
    </row>
    <row r="145" spans="1:4" x14ac:dyDescent="0.25">
      <c r="A145" s="26">
        <v>22251</v>
      </c>
      <c r="B145" s="5">
        <v>432</v>
      </c>
      <c r="C145" s="19">
        <f t="shared" si="7"/>
        <v>6.0684255882441107</v>
      </c>
      <c r="D145" s="20">
        <v>438.66131583959174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Analysis</vt:lpstr>
      <vt:lpstr>Modeling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2012-02-15T01:59:26Z</dcterms:created>
  <dcterms:modified xsi:type="dcterms:W3CDTF">2012-02-15T22:30:29Z</dcterms:modified>
</cp:coreProperties>
</file>