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7380" windowHeight="4890"/>
  </bookViews>
  <sheets>
    <sheet name="monthly" sheetId="1" r:id="rId1"/>
  </sheets>
  <definedNames>
    <definedName name="solver_adj" localSheetId="0" hidden="1">monthly!$O$60:$O$64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100</definedName>
    <definedName name="solver_lhs1" localSheetId="0" hidden="1">monthly!$S$60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monthly!$Q$60</definedName>
    <definedName name="solver_pre" localSheetId="0" hidden="1">0.000001</definedName>
    <definedName name="solver_rbv" localSheetId="0" hidden="1">1</definedName>
    <definedName name="solver_rel1" localSheetId="0" hidden="1">3</definedName>
    <definedName name="solver_rhs1" localSheetId="0" hidden="1">0.99999</definedName>
    <definedName name="solver_rlx" localSheetId="0" hidden="1">1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45621"/>
</workbook>
</file>

<file path=xl/calcChain.xml><?xml version="1.0" encoding="utf-8"?>
<calcChain xmlns="http://schemas.openxmlformats.org/spreadsheetml/2006/main">
  <c r="P71" i="1" l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70" i="1"/>
  <c r="P69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5" i="1"/>
  <c r="K14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3" i="1"/>
  <c r="R72" i="1"/>
  <c r="R71" i="1"/>
  <c r="R70" i="1"/>
  <c r="R69" i="1"/>
  <c r="O86" i="1"/>
  <c r="O84" i="1"/>
  <c r="O82" i="1"/>
  <c r="O80" i="1"/>
  <c r="O78" i="1"/>
  <c r="O76" i="1"/>
  <c r="O74" i="1"/>
  <c r="O72" i="1"/>
  <c r="O70" i="1"/>
  <c r="N86" i="1"/>
  <c r="N84" i="1"/>
  <c r="N82" i="1"/>
  <c r="N80" i="1"/>
  <c r="N78" i="1"/>
  <c r="N76" i="1"/>
  <c r="N74" i="1"/>
  <c r="N70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O85" i="1"/>
  <c r="O83" i="1"/>
  <c r="O81" i="1"/>
  <c r="O79" i="1"/>
  <c r="O77" i="1"/>
  <c r="O75" i="1"/>
  <c r="O73" i="1"/>
  <c r="O71" i="1"/>
  <c r="O69" i="1"/>
  <c r="N85" i="1"/>
  <c r="N83" i="1"/>
  <c r="N81" i="1"/>
  <c r="N79" i="1"/>
  <c r="N77" i="1"/>
  <c r="N75" i="1"/>
  <c r="N73" i="1"/>
  <c r="N71" i="1"/>
  <c r="N69" i="1"/>
  <c r="N72" i="1"/>
  <c r="T19" i="1" l="1"/>
  <c r="Q64" i="1"/>
  <c r="H2" i="1" a="1"/>
  <c r="S60" i="1"/>
  <c r="H2" i="1" l="1"/>
  <c r="H6" i="1"/>
  <c r="H10" i="1"/>
  <c r="H14" i="1"/>
  <c r="H18" i="1"/>
  <c r="H22" i="1"/>
  <c r="H26" i="1"/>
  <c r="H30" i="1"/>
  <c r="H34" i="1"/>
  <c r="H38" i="1"/>
  <c r="H42" i="1"/>
  <c r="H46" i="1"/>
  <c r="H50" i="1"/>
  <c r="H54" i="1"/>
  <c r="H58" i="1"/>
  <c r="H62" i="1"/>
  <c r="H66" i="1"/>
  <c r="H70" i="1"/>
  <c r="H74" i="1"/>
  <c r="H78" i="1"/>
  <c r="H82" i="1"/>
  <c r="H86" i="1"/>
  <c r="H90" i="1"/>
  <c r="H94" i="1"/>
  <c r="H98" i="1"/>
  <c r="H102" i="1"/>
  <c r="H106" i="1"/>
  <c r="H110" i="1"/>
  <c r="H114" i="1"/>
  <c r="H118" i="1"/>
  <c r="H122" i="1"/>
  <c r="H126" i="1"/>
  <c r="H130" i="1"/>
  <c r="H134" i="1"/>
  <c r="H138" i="1"/>
  <c r="H142" i="1"/>
  <c r="H146" i="1"/>
  <c r="H5" i="1"/>
  <c r="H9" i="1"/>
  <c r="H13" i="1"/>
  <c r="H17" i="1"/>
  <c r="H21" i="1"/>
  <c r="H25" i="1"/>
  <c r="H33" i="1"/>
  <c r="H41" i="1"/>
  <c r="H49" i="1"/>
  <c r="H57" i="1"/>
  <c r="H65" i="1"/>
  <c r="H73" i="1"/>
  <c r="H81" i="1"/>
  <c r="H89" i="1"/>
  <c r="H97" i="1"/>
  <c r="H105" i="1"/>
  <c r="H113" i="1"/>
  <c r="H121" i="1"/>
  <c r="H129" i="1"/>
  <c r="H137" i="1"/>
  <c r="H145" i="1"/>
  <c r="H31" i="1"/>
  <c r="H39" i="1"/>
  <c r="H47" i="1"/>
  <c r="H55" i="1"/>
  <c r="H63" i="1"/>
  <c r="H71" i="1"/>
  <c r="H79" i="1"/>
  <c r="H87" i="1"/>
  <c r="H95" i="1"/>
  <c r="H103" i="1"/>
  <c r="H111" i="1"/>
  <c r="H119" i="1"/>
  <c r="H127" i="1"/>
  <c r="H135" i="1"/>
  <c r="H143" i="1"/>
  <c r="H4" i="1"/>
  <c r="H8" i="1"/>
  <c r="H12" i="1"/>
  <c r="H16" i="1"/>
  <c r="H20" i="1"/>
  <c r="H24" i="1"/>
  <c r="H28" i="1"/>
  <c r="H32" i="1"/>
  <c r="H36" i="1"/>
  <c r="H40" i="1"/>
  <c r="H44" i="1"/>
  <c r="H48" i="1"/>
  <c r="H52" i="1"/>
  <c r="H56" i="1"/>
  <c r="H60" i="1"/>
  <c r="H64" i="1"/>
  <c r="H68" i="1"/>
  <c r="H72" i="1"/>
  <c r="H76" i="1"/>
  <c r="H80" i="1"/>
  <c r="H84" i="1"/>
  <c r="H88" i="1"/>
  <c r="H92" i="1"/>
  <c r="H96" i="1"/>
  <c r="H100" i="1"/>
  <c r="H104" i="1"/>
  <c r="H108" i="1"/>
  <c r="H112" i="1"/>
  <c r="H116" i="1"/>
  <c r="H120" i="1"/>
  <c r="H124" i="1"/>
  <c r="H128" i="1"/>
  <c r="H132" i="1"/>
  <c r="H136" i="1"/>
  <c r="H140" i="1"/>
  <c r="H144" i="1"/>
  <c r="H3" i="1"/>
  <c r="H7" i="1"/>
  <c r="H11" i="1"/>
  <c r="H15" i="1"/>
  <c r="H19" i="1"/>
  <c r="H23" i="1"/>
  <c r="H29" i="1"/>
  <c r="H37" i="1"/>
  <c r="H45" i="1"/>
  <c r="H53" i="1"/>
  <c r="H61" i="1"/>
  <c r="H69" i="1"/>
  <c r="H77" i="1"/>
  <c r="H85" i="1"/>
  <c r="H93" i="1"/>
  <c r="H101" i="1"/>
  <c r="H109" i="1"/>
  <c r="H117" i="1"/>
  <c r="H125" i="1"/>
  <c r="H133" i="1"/>
  <c r="H141" i="1"/>
  <c r="H27" i="1"/>
  <c r="H35" i="1"/>
  <c r="H43" i="1"/>
  <c r="H51" i="1"/>
  <c r="H59" i="1"/>
  <c r="H67" i="1"/>
  <c r="H75" i="1"/>
  <c r="H83" i="1"/>
  <c r="H91" i="1"/>
  <c r="H99" i="1"/>
  <c r="H107" i="1"/>
  <c r="H115" i="1"/>
  <c r="H123" i="1"/>
  <c r="H131" i="1"/>
  <c r="H139" i="1"/>
  <c r="H147" i="1"/>
  <c r="J4" i="1"/>
  <c r="J13" i="1"/>
  <c r="J21" i="1"/>
  <c r="J29" i="1"/>
  <c r="J19" i="1"/>
  <c r="J33" i="1"/>
  <c r="J41" i="1"/>
  <c r="J49" i="1"/>
  <c r="J57" i="1"/>
  <c r="J65" i="1"/>
  <c r="J73" i="1"/>
  <c r="J81" i="1"/>
  <c r="J89" i="1"/>
  <c r="J97" i="1"/>
  <c r="J105" i="1"/>
  <c r="J113" i="1"/>
  <c r="J121" i="1"/>
  <c r="J129" i="1"/>
  <c r="J137" i="1"/>
  <c r="J145" i="1"/>
  <c r="J12" i="1"/>
  <c r="J20" i="1"/>
  <c r="J28" i="1"/>
  <c r="J36" i="1"/>
  <c r="J44" i="1"/>
  <c r="J52" i="1"/>
  <c r="J60" i="1"/>
  <c r="J68" i="1"/>
  <c r="J76" i="1"/>
  <c r="J84" i="1"/>
  <c r="J92" i="1"/>
  <c r="J100" i="1"/>
  <c r="J108" i="1"/>
  <c r="J116" i="1"/>
  <c r="J124" i="1"/>
  <c r="J132" i="1"/>
  <c r="J140" i="1"/>
  <c r="J6" i="1"/>
  <c r="J134" i="1"/>
  <c r="J138" i="1"/>
  <c r="J142" i="1"/>
  <c r="J146" i="1"/>
  <c r="J15" i="1"/>
  <c r="J31" i="1"/>
  <c r="J39" i="1"/>
  <c r="J47" i="1"/>
  <c r="J55" i="1"/>
  <c r="J63" i="1"/>
  <c r="J71" i="1"/>
  <c r="J79" i="1"/>
  <c r="J87" i="1"/>
  <c r="J95" i="1"/>
  <c r="J103" i="1"/>
  <c r="J111" i="1"/>
  <c r="J119" i="1"/>
  <c r="J127" i="1"/>
  <c r="J14" i="1"/>
  <c r="J22" i="1"/>
  <c r="J30" i="1"/>
  <c r="J38" i="1"/>
  <c r="J46" i="1"/>
  <c r="J54" i="1"/>
  <c r="J62" i="1"/>
  <c r="J70" i="1"/>
  <c r="J78" i="1"/>
  <c r="J86" i="1"/>
  <c r="J94" i="1"/>
  <c r="J102" i="1"/>
  <c r="J110" i="1"/>
  <c r="J118" i="1"/>
  <c r="J126" i="1"/>
  <c r="J5" i="1"/>
  <c r="J9" i="1"/>
  <c r="J17" i="1"/>
  <c r="J25" i="1"/>
  <c r="J11" i="1"/>
  <c r="J27" i="1"/>
  <c r="J37" i="1"/>
  <c r="J45" i="1"/>
  <c r="J53" i="1"/>
  <c r="J61" i="1"/>
  <c r="J69" i="1"/>
  <c r="J77" i="1"/>
  <c r="J85" i="1"/>
  <c r="J93" i="1"/>
  <c r="J101" i="1"/>
  <c r="J109" i="1"/>
  <c r="J117" i="1"/>
  <c r="J125" i="1"/>
  <c r="J133" i="1"/>
  <c r="J141" i="1"/>
  <c r="J8" i="1"/>
  <c r="J16" i="1"/>
  <c r="J24" i="1"/>
  <c r="J32" i="1"/>
  <c r="J40" i="1"/>
  <c r="J48" i="1"/>
  <c r="J56" i="1"/>
  <c r="J64" i="1"/>
  <c r="J72" i="1"/>
  <c r="J80" i="1"/>
  <c r="J88" i="1"/>
  <c r="J96" i="1"/>
  <c r="J104" i="1"/>
  <c r="J112" i="1"/>
  <c r="J120" i="1"/>
  <c r="J128" i="1"/>
  <c r="J136" i="1"/>
  <c r="J144" i="1"/>
  <c r="J131" i="1"/>
  <c r="J135" i="1"/>
  <c r="J139" i="1"/>
  <c r="J143" i="1"/>
  <c r="J147" i="1"/>
  <c r="J7" i="1"/>
  <c r="J23" i="1"/>
  <c r="J35" i="1"/>
  <c r="J43" i="1"/>
  <c r="J51" i="1"/>
  <c r="J59" i="1"/>
  <c r="J67" i="1"/>
  <c r="J75" i="1"/>
  <c r="J83" i="1"/>
  <c r="J91" i="1"/>
  <c r="J99" i="1"/>
  <c r="J107" i="1"/>
  <c r="J115" i="1"/>
  <c r="J123" i="1"/>
  <c r="J10" i="1"/>
  <c r="J18" i="1"/>
  <c r="J26" i="1"/>
  <c r="J34" i="1"/>
  <c r="J42" i="1"/>
  <c r="J50" i="1"/>
  <c r="J58" i="1"/>
  <c r="J66" i="1"/>
  <c r="J74" i="1"/>
  <c r="J82" i="1"/>
  <c r="J90" i="1"/>
  <c r="J98" i="1"/>
  <c r="J106" i="1"/>
  <c r="J114" i="1"/>
  <c r="J122" i="1"/>
  <c r="J130" i="1"/>
  <c r="S52" i="1"/>
  <c r="Q51" i="1"/>
  <c r="O50" i="1"/>
  <c r="S48" i="1"/>
  <c r="Q47" i="1"/>
  <c r="O46" i="1"/>
  <c r="S44" i="1"/>
  <c r="Q43" i="1"/>
  <c r="O42" i="1"/>
  <c r="S40" i="1"/>
  <c r="Q39" i="1"/>
  <c r="O38" i="1"/>
  <c r="S36" i="1"/>
  <c r="Q35" i="1"/>
  <c r="N52" i="1"/>
  <c r="S50" i="1"/>
  <c r="O48" i="1"/>
  <c r="Q45" i="1"/>
  <c r="S42" i="1"/>
  <c r="O40" i="1"/>
  <c r="Q37" i="1"/>
  <c r="R52" i="1"/>
  <c r="R50" i="1"/>
  <c r="P49" i="1"/>
  <c r="N48" i="1"/>
  <c r="R46" i="1"/>
  <c r="P45" i="1"/>
  <c r="P43" i="1"/>
  <c r="R40" i="1"/>
  <c r="P37" i="1"/>
  <c r="O29" i="1"/>
  <c r="S49" i="1"/>
  <c r="O47" i="1"/>
  <c r="O43" i="1"/>
  <c r="Q40" i="1"/>
  <c r="Q36" i="1"/>
  <c r="R51" i="1"/>
  <c r="N49" i="1"/>
  <c r="P46" i="1"/>
  <c r="R43" i="1"/>
  <c r="N41" i="1"/>
  <c r="P38" i="1"/>
  <c r="R35" i="1"/>
  <c r="W21" i="1"/>
  <c r="O28" i="1"/>
  <c r="O52" i="1"/>
  <c r="Q49" i="1"/>
  <c r="S46" i="1"/>
  <c r="O44" i="1"/>
  <c r="Q41" i="1"/>
  <c r="S38" i="1"/>
  <c r="O36" i="1"/>
  <c r="P51" i="1"/>
  <c r="N50" i="1"/>
  <c r="R48" i="1"/>
  <c r="P47" i="1"/>
  <c r="N46" i="1"/>
  <c r="N44" i="1"/>
  <c r="N42" i="1"/>
  <c r="R38" i="1"/>
  <c r="N36" i="1"/>
  <c r="W22" i="1"/>
  <c r="R23" i="1"/>
  <c r="O21" i="1"/>
  <c r="S51" i="1"/>
  <c r="Q50" i="1"/>
  <c r="O49" i="1"/>
  <c r="S47" i="1"/>
  <c r="Q46" i="1"/>
  <c r="O45" i="1"/>
  <c r="S43" i="1"/>
  <c r="Q42" i="1"/>
  <c r="O41" i="1"/>
  <c r="S39" i="1"/>
  <c r="Q38" i="1"/>
  <c r="O37" i="1"/>
  <c r="S35" i="1"/>
  <c r="P52" i="1"/>
  <c r="N51" i="1"/>
  <c r="R49" i="1"/>
  <c r="P48" i="1"/>
  <c r="N47" i="1"/>
  <c r="R45" i="1"/>
  <c r="P44" i="1"/>
  <c r="N43" i="1"/>
  <c r="R41" i="1"/>
  <c r="P40" i="1"/>
  <c r="N39" i="1"/>
  <c r="R37" i="1"/>
  <c r="P36" i="1"/>
  <c r="N35" i="1"/>
  <c r="O22" i="1"/>
  <c r="O23" i="1"/>
  <c r="R44" i="1"/>
  <c r="P41" i="1"/>
  <c r="P39" i="1"/>
  <c r="R36" i="1"/>
  <c r="O24" i="1"/>
  <c r="O26" i="1"/>
  <c r="Q52" i="1"/>
  <c r="O51" i="1"/>
  <c r="Q48" i="1"/>
  <c r="S45" i="1"/>
  <c r="Q44" i="1"/>
  <c r="S41" i="1"/>
  <c r="O39" i="1"/>
  <c r="S37" i="1"/>
  <c r="O35" i="1"/>
  <c r="P50" i="1"/>
  <c r="R47" i="1"/>
  <c r="N45" i="1"/>
  <c r="P42" i="1"/>
  <c r="R39" i="1"/>
  <c r="N37" i="1"/>
  <c r="O27" i="1"/>
  <c r="R24" i="1"/>
  <c r="R21" i="1"/>
  <c r="I2" i="1" a="1"/>
  <c r="N40" i="1"/>
  <c r="P35" i="1"/>
  <c r="O30" i="1"/>
  <c r="R42" i="1"/>
  <c r="N38" i="1"/>
  <c r="W20" i="1"/>
  <c r="X20" i="1" l="1"/>
  <c r="I139" i="1"/>
  <c r="I123" i="1"/>
  <c r="I107" i="1"/>
  <c r="I91" i="1"/>
  <c r="I75" i="1"/>
  <c r="I59" i="1"/>
  <c r="I43" i="1"/>
  <c r="I133" i="1"/>
  <c r="I85" i="1"/>
  <c r="I53" i="1"/>
  <c r="I15" i="1"/>
  <c r="I128" i="1"/>
  <c r="I104" i="1"/>
  <c r="I88" i="1"/>
  <c r="I64" i="1"/>
  <c r="I56" i="1"/>
  <c r="I48" i="1"/>
  <c r="I40" i="1"/>
  <c r="I8" i="1"/>
  <c r="I111" i="1"/>
  <c r="I63" i="1"/>
  <c r="I137" i="1"/>
  <c r="I147" i="1"/>
  <c r="I131" i="1"/>
  <c r="I115" i="1"/>
  <c r="I99" i="1"/>
  <c r="I83" i="1"/>
  <c r="I67" i="1"/>
  <c r="I51" i="1"/>
  <c r="I35" i="1"/>
  <c r="I141" i="1"/>
  <c r="I125" i="1"/>
  <c r="I109" i="1"/>
  <c r="I93" i="1"/>
  <c r="I77" i="1"/>
  <c r="I61" i="1"/>
  <c r="I45" i="1"/>
  <c r="I29" i="1"/>
  <c r="I19" i="1"/>
  <c r="I11" i="1"/>
  <c r="I3" i="1"/>
  <c r="I140" i="1"/>
  <c r="I132" i="1"/>
  <c r="I124" i="1"/>
  <c r="I116" i="1"/>
  <c r="I108" i="1"/>
  <c r="I100" i="1"/>
  <c r="I92" i="1"/>
  <c r="I84" i="1"/>
  <c r="I76" i="1"/>
  <c r="I68" i="1"/>
  <c r="I60" i="1"/>
  <c r="I52" i="1"/>
  <c r="I44" i="1"/>
  <c r="I36" i="1"/>
  <c r="I28" i="1"/>
  <c r="I20" i="1"/>
  <c r="I12" i="1"/>
  <c r="I4" i="1"/>
  <c r="I135" i="1"/>
  <c r="I119" i="1"/>
  <c r="I103" i="1"/>
  <c r="I87" i="1"/>
  <c r="I71" i="1"/>
  <c r="I55" i="1"/>
  <c r="I39" i="1"/>
  <c r="I145" i="1"/>
  <c r="I129" i="1"/>
  <c r="I113" i="1"/>
  <c r="I97" i="1"/>
  <c r="I81" i="1"/>
  <c r="I65" i="1"/>
  <c r="I49" i="1"/>
  <c r="I33" i="1"/>
  <c r="I21" i="1"/>
  <c r="I13" i="1"/>
  <c r="I5" i="1"/>
  <c r="I142" i="1"/>
  <c r="I134" i="1"/>
  <c r="I126" i="1"/>
  <c r="I118" i="1"/>
  <c r="I110" i="1"/>
  <c r="I102" i="1"/>
  <c r="I94" i="1"/>
  <c r="I86" i="1"/>
  <c r="I78" i="1"/>
  <c r="I70" i="1"/>
  <c r="I62" i="1"/>
  <c r="I54" i="1"/>
  <c r="I46" i="1"/>
  <c r="I38" i="1"/>
  <c r="I30" i="1"/>
  <c r="I22" i="1"/>
  <c r="I14" i="1"/>
  <c r="I6" i="1"/>
  <c r="I27" i="1"/>
  <c r="I117" i="1"/>
  <c r="I101" i="1"/>
  <c r="I69" i="1"/>
  <c r="I37" i="1"/>
  <c r="I23" i="1"/>
  <c r="I7" i="1"/>
  <c r="I144" i="1"/>
  <c r="I136" i="1"/>
  <c r="I120" i="1"/>
  <c r="I112" i="1"/>
  <c r="I96" i="1"/>
  <c r="I80" i="1"/>
  <c r="I72" i="1"/>
  <c r="I32" i="1"/>
  <c r="I24" i="1"/>
  <c r="I16" i="1"/>
  <c r="I143" i="1"/>
  <c r="I127" i="1"/>
  <c r="I95" i="1"/>
  <c r="I79" i="1"/>
  <c r="I47" i="1"/>
  <c r="I31" i="1"/>
  <c r="I105" i="1"/>
  <c r="I73" i="1"/>
  <c r="I41" i="1"/>
  <c r="I17" i="1"/>
  <c r="I146" i="1"/>
  <c r="I130" i="1"/>
  <c r="I114" i="1"/>
  <c r="I98" i="1"/>
  <c r="I82" i="1"/>
  <c r="I66" i="1"/>
  <c r="I50" i="1"/>
  <c r="I34" i="1"/>
  <c r="I18" i="1"/>
  <c r="I2" i="1"/>
  <c r="I121" i="1"/>
  <c r="I89" i="1"/>
  <c r="I57" i="1"/>
  <c r="I25" i="1"/>
  <c r="I9" i="1"/>
  <c r="I138" i="1"/>
  <c r="I122" i="1"/>
  <c r="I106" i="1"/>
  <c r="I90" i="1"/>
  <c r="I74" i="1"/>
  <c r="I58" i="1"/>
  <c r="I42" i="1"/>
  <c r="I26" i="1"/>
  <c r="I10" i="1"/>
  <c r="S21" i="1"/>
  <c r="S24" i="1"/>
  <c r="S23" i="1"/>
  <c r="X22" i="1"/>
  <c r="X21" i="1"/>
  <c r="Y62" i="1"/>
  <c r="Z60" i="1"/>
  <c r="X62" i="1"/>
  <c r="V62" i="1"/>
  <c r="AA60" i="1"/>
  <c r="Y60" i="1"/>
  <c r="W60" i="1"/>
  <c r="Q60" i="1"/>
  <c r="W62" i="1"/>
  <c r="AB60" i="1"/>
  <c r="X60" i="1"/>
  <c r="V60" i="1"/>
  <c r="R60" i="1"/>
</calcChain>
</file>

<file path=xl/sharedStrings.xml><?xml version="1.0" encoding="utf-8"?>
<sst xmlns="http://schemas.openxmlformats.org/spreadsheetml/2006/main" count="68" uniqueCount="60">
  <si>
    <t>Date</t>
  </si>
  <si>
    <t>Open</t>
  </si>
  <si>
    <t>High</t>
  </si>
  <si>
    <t>Low</t>
  </si>
  <si>
    <t>Close</t>
  </si>
  <si>
    <t>Volume</t>
  </si>
  <si>
    <t>Adj Close</t>
  </si>
  <si>
    <t>%RET</t>
  </si>
  <si>
    <t>WMA</t>
  </si>
  <si>
    <t>EWMA</t>
  </si>
  <si>
    <t>Descriptive Statistics</t>
  </si>
  <si>
    <t>AVERAGE:</t>
  </si>
  <si>
    <t>STD DEV:</t>
  </si>
  <si>
    <t>SKEW:</t>
  </si>
  <si>
    <t>EXCESS-KURTOSIS:</t>
  </si>
  <si>
    <t>MEDIAN:</t>
  </si>
  <si>
    <t>MIN:</t>
  </si>
  <si>
    <t>MAX:</t>
  </si>
  <si>
    <t>Q 1:</t>
  </si>
  <si>
    <t>Q 3:</t>
  </si>
  <si>
    <t>Significance Test</t>
  </si>
  <si>
    <t>Target</t>
  </si>
  <si>
    <t>P-Value</t>
  </si>
  <si>
    <t>SIG?</t>
  </si>
  <si>
    <t>Test</t>
  </si>
  <si>
    <t>p-value</t>
  </si>
  <si>
    <t>White-noise</t>
  </si>
  <si>
    <t>Normal Distributed?</t>
  </si>
  <si>
    <t>ARCH Effect?</t>
  </si>
  <si>
    <t>Correlogram Analysis</t>
  </si>
  <si>
    <t>Lag</t>
  </si>
  <si>
    <t>ACF</t>
  </si>
  <si>
    <t>UL</t>
  </si>
  <si>
    <t>LL</t>
  </si>
  <si>
    <t>PACF</t>
  </si>
  <si>
    <t>Param</t>
  </si>
  <si>
    <t>Value</t>
  </si>
  <si>
    <t>µ</t>
  </si>
  <si>
    <r>
      <t>α</t>
    </r>
    <r>
      <rPr>
        <b/>
        <vertAlign val="subscript"/>
        <sz val="11"/>
        <color theme="1"/>
        <rFont val="Calibri"/>
        <family val="2"/>
        <scheme val="minor"/>
      </rPr>
      <t>0</t>
    </r>
  </si>
  <si>
    <r>
      <t>α</t>
    </r>
    <r>
      <rPr>
        <b/>
        <vertAlign val="subscript"/>
        <sz val="11"/>
        <color theme="1"/>
        <rFont val="Calibri"/>
        <family val="2"/>
        <scheme val="minor"/>
      </rPr>
      <t>1</t>
    </r>
  </si>
  <si>
    <r>
      <t>β</t>
    </r>
    <r>
      <rPr>
        <b/>
        <vertAlign val="subscript"/>
        <sz val="11"/>
        <color theme="1"/>
        <rFont val="Calibri"/>
        <family val="2"/>
        <scheme val="minor"/>
      </rPr>
      <t>1</t>
    </r>
  </si>
  <si>
    <t>Goodness-of-fit</t>
  </si>
  <si>
    <t>LLF</t>
  </si>
  <si>
    <t>AIC</t>
  </si>
  <si>
    <t>CHECK</t>
  </si>
  <si>
    <t>Residuals (standardized) Analysis</t>
  </si>
  <si>
    <t>AVG</t>
  </si>
  <si>
    <t>STDEV</t>
  </si>
  <si>
    <t>SKEW</t>
  </si>
  <si>
    <t>KURTOSIS</t>
  </si>
  <si>
    <t>Noise?</t>
  </si>
  <si>
    <t>Normal?</t>
  </si>
  <si>
    <t>ARCH?</t>
  </si>
  <si>
    <t>EGARCH(1,1)</t>
  </si>
  <si>
    <r>
      <t>γ</t>
    </r>
    <r>
      <rPr>
        <b/>
        <vertAlign val="subscript"/>
        <sz val="11"/>
        <color theme="1"/>
        <rFont val="Calibri"/>
        <family val="2"/>
        <scheme val="minor"/>
      </rPr>
      <t>1</t>
    </r>
  </si>
  <si>
    <t>Step</t>
  </si>
  <si>
    <t>Mean</t>
  </si>
  <si>
    <t>STD</t>
  </si>
  <si>
    <t>TS</t>
  </si>
  <si>
    <t>VL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</si>
</sst>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"/>
    <numFmt numFmtId="166" formatCode="0.000%"/>
    <numFmt numFmtId="167" formatCode="[$-409]mmm\-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0" fontId="0" fillId="0" borderId="0" xfId="1" applyNumberFormat="1" applyFont="1"/>
    <xf numFmtId="10" fontId="0" fillId="0" borderId="0" xfId="1" applyNumberFormat="1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11" xfId="0" applyFont="1" applyBorder="1" applyAlignment="1">
      <alignment horizontal="left"/>
    </xf>
    <xf numFmtId="0" fontId="0" fillId="0" borderId="11" xfId="0" applyBorder="1"/>
    <xf numFmtId="0" fontId="16" fillId="0" borderId="0" xfId="0" applyFont="1" applyAlignment="1">
      <alignment horizontal="right"/>
    </xf>
    <xf numFmtId="10" fontId="0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0" fontId="16" fillId="33" borderId="12" xfId="0" applyNumberFormat="1" applyFont="1" applyFill="1" applyBorder="1" applyAlignment="1">
      <alignment horizontal="center"/>
    </xf>
    <xf numFmtId="0" fontId="0" fillId="0" borderId="12" xfId="0" applyBorder="1"/>
    <xf numFmtId="164" fontId="0" fillId="0" borderId="0" xfId="0" applyNumberFormat="1" applyFont="1" applyAlignment="1">
      <alignment horizontal="center"/>
    </xf>
    <xf numFmtId="0" fontId="16" fillId="0" borderId="11" xfId="0" applyFont="1" applyBorder="1" applyAlignment="1">
      <alignment horizontal="center"/>
    </xf>
    <xf numFmtId="10" fontId="0" fillId="0" borderId="0" xfId="0" applyNumberFormat="1"/>
    <xf numFmtId="2" fontId="0" fillId="0" borderId="0" xfId="0" applyNumberFormat="1"/>
    <xf numFmtId="165" fontId="0" fillId="0" borderId="11" xfId="0" applyNumberFormat="1" applyBorder="1"/>
    <xf numFmtId="2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6" fontId="0" fillId="0" borderId="0" xfId="1" applyNumberFormat="1" applyFont="1"/>
    <xf numFmtId="0" fontId="16" fillId="0" borderId="10" xfId="0" applyFont="1" applyBorder="1" applyAlignment="1">
      <alignment horizontal="right"/>
    </xf>
    <xf numFmtId="0" fontId="16" fillId="0" borderId="10" xfId="0" applyFont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center"/>
    </xf>
    <xf numFmtId="10" fontId="1" fillId="0" borderId="0" xfId="1" applyNumberFormat="1" applyFont="1" applyAlignment="1">
      <alignment horizontal="center"/>
    </xf>
    <xf numFmtId="10" fontId="0" fillId="0" borderId="0" xfId="1" applyNumberFormat="1" applyFont="1" applyAlignment="1">
      <alignment horizontal="left"/>
    </xf>
    <xf numFmtId="166" fontId="16" fillId="0" borderId="10" xfId="1" applyNumberFormat="1" applyFont="1" applyBorder="1"/>
    <xf numFmtId="167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987581012643281E-2"/>
          <c:y val="5.1400554097404488E-2"/>
          <c:w val="0.88604374977865397"/>
          <c:h val="0.89719889180519097"/>
        </c:manualLayout>
      </c:layout>
      <c:lineChart>
        <c:grouping val="standard"/>
        <c:varyColors val="0"/>
        <c:ser>
          <c:idx val="0"/>
          <c:order val="0"/>
          <c:tx>
            <c:v>%RET (LHS)</c:v>
          </c:tx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monthly!$A$2:$A$147</c:f>
              <c:numCache>
                <c:formatCode>m/d/yyyy</c:formatCode>
                <c:ptCount val="146"/>
                <c:pt idx="0">
                  <c:v>36528</c:v>
                </c:pt>
                <c:pt idx="1">
                  <c:v>36557</c:v>
                </c:pt>
                <c:pt idx="2">
                  <c:v>36586</c:v>
                </c:pt>
                <c:pt idx="3">
                  <c:v>36619</c:v>
                </c:pt>
                <c:pt idx="4">
                  <c:v>36647</c:v>
                </c:pt>
                <c:pt idx="5">
                  <c:v>36678</c:v>
                </c:pt>
                <c:pt idx="6">
                  <c:v>36710</c:v>
                </c:pt>
                <c:pt idx="7">
                  <c:v>36739</c:v>
                </c:pt>
                <c:pt idx="8">
                  <c:v>36770</c:v>
                </c:pt>
                <c:pt idx="9">
                  <c:v>36801</c:v>
                </c:pt>
                <c:pt idx="10">
                  <c:v>36831</c:v>
                </c:pt>
                <c:pt idx="11">
                  <c:v>36861</c:v>
                </c:pt>
                <c:pt idx="12">
                  <c:v>36893</c:v>
                </c:pt>
                <c:pt idx="13">
                  <c:v>36923</c:v>
                </c:pt>
                <c:pt idx="14">
                  <c:v>36951</c:v>
                </c:pt>
                <c:pt idx="15">
                  <c:v>36983</c:v>
                </c:pt>
                <c:pt idx="16">
                  <c:v>37012</c:v>
                </c:pt>
                <c:pt idx="17">
                  <c:v>37043</c:v>
                </c:pt>
                <c:pt idx="18">
                  <c:v>37074</c:v>
                </c:pt>
                <c:pt idx="19">
                  <c:v>37104</c:v>
                </c:pt>
                <c:pt idx="20">
                  <c:v>37138</c:v>
                </c:pt>
                <c:pt idx="21">
                  <c:v>37165</c:v>
                </c:pt>
                <c:pt idx="22">
                  <c:v>37196</c:v>
                </c:pt>
                <c:pt idx="23">
                  <c:v>37228</c:v>
                </c:pt>
                <c:pt idx="24">
                  <c:v>37258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37410</c:v>
                </c:pt>
                <c:pt idx="30">
                  <c:v>37438</c:v>
                </c:pt>
                <c:pt idx="31">
                  <c:v>37469</c:v>
                </c:pt>
                <c:pt idx="32">
                  <c:v>37502</c:v>
                </c:pt>
                <c:pt idx="33">
                  <c:v>37530</c:v>
                </c:pt>
                <c:pt idx="34">
                  <c:v>37561</c:v>
                </c:pt>
                <c:pt idx="35">
                  <c:v>37592</c:v>
                </c:pt>
                <c:pt idx="36">
                  <c:v>37623</c:v>
                </c:pt>
                <c:pt idx="37">
                  <c:v>37655</c:v>
                </c:pt>
                <c:pt idx="38">
                  <c:v>37683</c:v>
                </c:pt>
                <c:pt idx="39">
                  <c:v>37712</c:v>
                </c:pt>
                <c:pt idx="40">
                  <c:v>37742</c:v>
                </c:pt>
                <c:pt idx="41">
                  <c:v>37774</c:v>
                </c:pt>
                <c:pt idx="42">
                  <c:v>37803</c:v>
                </c:pt>
                <c:pt idx="43">
                  <c:v>37834</c:v>
                </c:pt>
                <c:pt idx="44">
                  <c:v>37866</c:v>
                </c:pt>
                <c:pt idx="45">
                  <c:v>37895</c:v>
                </c:pt>
                <c:pt idx="46">
                  <c:v>37928</c:v>
                </c:pt>
                <c:pt idx="47">
                  <c:v>37956</c:v>
                </c:pt>
                <c:pt idx="48">
                  <c:v>37988</c:v>
                </c:pt>
                <c:pt idx="49">
                  <c:v>38019</c:v>
                </c:pt>
                <c:pt idx="50">
                  <c:v>38047</c:v>
                </c:pt>
                <c:pt idx="51">
                  <c:v>38078</c:v>
                </c:pt>
                <c:pt idx="52">
                  <c:v>38110</c:v>
                </c:pt>
                <c:pt idx="53">
                  <c:v>38139</c:v>
                </c:pt>
                <c:pt idx="54">
                  <c:v>38169</c:v>
                </c:pt>
                <c:pt idx="55">
                  <c:v>38201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38355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38474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38628</c:v>
                </c:pt>
                <c:pt idx="70">
                  <c:v>38657</c:v>
                </c:pt>
                <c:pt idx="71">
                  <c:v>38687</c:v>
                </c:pt>
                <c:pt idx="72">
                  <c:v>38720</c:v>
                </c:pt>
                <c:pt idx="73">
                  <c:v>38749</c:v>
                </c:pt>
                <c:pt idx="74">
                  <c:v>38777</c:v>
                </c:pt>
                <c:pt idx="75">
                  <c:v>38810</c:v>
                </c:pt>
                <c:pt idx="76">
                  <c:v>38838</c:v>
                </c:pt>
                <c:pt idx="77">
                  <c:v>38869</c:v>
                </c:pt>
                <c:pt idx="78">
                  <c:v>38901</c:v>
                </c:pt>
                <c:pt idx="79">
                  <c:v>38930</c:v>
                </c:pt>
                <c:pt idx="80">
                  <c:v>38961</c:v>
                </c:pt>
                <c:pt idx="81">
                  <c:v>38992</c:v>
                </c:pt>
                <c:pt idx="82">
                  <c:v>39022</c:v>
                </c:pt>
                <c:pt idx="83">
                  <c:v>39052</c:v>
                </c:pt>
                <c:pt idx="84">
                  <c:v>39085</c:v>
                </c:pt>
                <c:pt idx="85">
                  <c:v>39114</c:v>
                </c:pt>
                <c:pt idx="86">
                  <c:v>39142</c:v>
                </c:pt>
                <c:pt idx="87">
                  <c:v>39174</c:v>
                </c:pt>
                <c:pt idx="88">
                  <c:v>39203</c:v>
                </c:pt>
                <c:pt idx="89">
                  <c:v>39234</c:v>
                </c:pt>
                <c:pt idx="90">
                  <c:v>39265</c:v>
                </c:pt>
                <c:pt idx="91">
                  <c:v>39295</c:v>
                </c:pt>
                <c:pt idx="92">
                  <c:v>39329</c:v>
                </c:pt>
                <c:pt idx="93">
                  <c:v>39356</c:v>
                </c:pt>
                <c:pt idx="94">
                  <c:v>39387</c:v>
                </c:pt>
                <c:pt idx="95">
                  <c:v>39419</c:v>
                </c:pt>
                <c:pt idx="96">
                  <c:v>39449</c:v>
                </c:pt>
                <c:pt idx="97">
                  <c:v>39479</c:v>
                </c:pt>
                <c:pt idx="98">
                  <c:v>39510</c:v>
                </c:pt>
                <c:pt idx="99">
                  <c:v>39539</c:v>
                </c:pt>
                <c:pt idx="100">
                  <c:v>39569</c:v>
                </c:pt>
                <c:pt idx="101">
                  <c:v>39601</c:v>
                </c:pt>
                <c:pt idx="102">
                  <c:v>39630</c:v>
                </c:pt>
                <c:pt idx="103">
                  <c:v>39661</c:v>
                </c:pt>
                <c:pt idx="104">
                  <c:v>39693</c:v>
                </c:pt>
                <c:pt idx="105">
                  <c:v>39722</c:v>
                </c:pt>
                <c:pt idx="106">
                  <c:v>39755</c:v>
                </c:pt>
                <c:pt idx="107">
                  <c:v>39783</c:v>
                </c:pt>
                <c:pt idx="108">
                  <c:v>39815</c:v>
                </c:pt>
                <c:pt idx="109">
                  <c:v>39846</c:v>
                </c:pt>
                <c:pt idx="110">
                  <c:v>39874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40028</c:v>
                </c:pt>
                <c:pt idx="116">
                  <c:v>40057</c:v>
                </c:pt>
                <c:pt idx="117">
                  <c:v>40087</c:v>
                </c:pt>
                <c:pt idx="118">
                  <c:v>40119</c:v>
                </c:pt>
                <c:pt idx="119">
                  <c:v>40148</c:v>
                </c:pt>
                <c:pt idx="120">
                  <c:v>40182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40301</c:v>
                </c:pt>
                <c:pt idx="125">
                  <c:v>40330</c:v>
                </c:pt>
                <c:pt idx="126">
                  <c:v>40360</c:v>
                </c:pt>
                <c:pt idx="127">
                  <c:v>40392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40546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40665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40819</c:v>
                </c:pt>
                <c:pt idx="142">
                  <c:v>40848</c:v>
                </c:pt>
                <c:pt idx="143">
                  <c:v>40878</c:v>
                </c:pt>
                <c:pt idx="144">
                  <c:v>40911</c:v>
                </c:pt>
                <c:pt idx="145">
                  <c:v>40940</c:v>
                </c:pt>
              </c:numCache>
            </c:numRef>
          </c:cat>
          <c:val>
            <c:numRef>
              <c:f>monthly!$H$2:$H$147</c:f>
              <c:numCache>
                <c:formatCode>0.00%</c:formatCode>
                <c:ptCount val="146"/>
                <c:pt idx="0">
                  <c:v>#N/A</c:v>
                </c:pt>
                <c:pt idx="1">
                  <c:v>-1.5276964666604442E-2</c:v>
                </c:pt>
                <c:pt idx="2">
                  <c:v>9.2515459433034408E-2</c:v>
                </c:pt>
                <c:pt idx="3">
                  <c:v>-3.579967862023814E-2</c:v>
                </c:pt>
                <c:pt idx="4">
                  <c:v>-1.5854406418157829E-2</c:v>
                </c:pt>
                <c:pt idx="5">
                  <c:v>1.9484174468736626E-2</c:v>
                </c:pt>
                <c:pt idx="6">
                  <c:v>-1.5796506810458411E-2</c:v>
                </c:pt>
                <c:pt idx="7">
                  <c:v>6.3269740201437941E-2</c:v>
                </c:pt>
                <c:pt idx="8">
                  <c:v>-5.6359923841251103E-2</c:v>
                </c:pt>
                <c:pt idx="9">
                  <c:v>-4.7720584807686706E-3</c:v>
                </c:pt>
                <c:pt idx="10">
                  <c:v>-7.7589922534104794E-2</c:v>
                </c:pt>
                <c:pt idx="11">
                  <c:v>-5.5540270513754209E-3</c:v>
                </c:pt>
                <c:pt idx="12">
                  <c:v>4.3502886715555356E-2</c:v>
                </c:pt>
                <c:pt idx="13">
                  <c:v>-0.10021911615740819</c:v>
                </c:pt>
                <c:pt idx="14">
                  <c:v>-5.7730689692520265E-2</c:v>
                </c:pt>
                <c:pt idx="15">
                  <c:v>8.1994302361393601E-2</c:v>
                </c:pt>
                <c:pt idx="16">
                  <c:v>-5.5769375314786984E-3</c:v>
                </c:pt>
                <c:pt idx="17">
                  <c:v>-2.4203386990982345E-2</c:v>
                </c:pt>
                <c:pt idx="18">
                  <c:v>-1.0226966959896444E-2</c:v>
                </c:pt>
                <c:pt idx="19">
                  <c:v>-6.1111267155179227E-2</c:v>
                </c:pt>
                <c:pt idx="20">
                  <c:v>-8.5219106397413036E-2</c:v>
                </c:pt>
                <c:pt idx="21">
                  <c:v>1.2970052693092704E-2</c:v>
                </c:pt>
                <c:pt idx="22">
                  <c:v>7.5109376646028458E-2</c:v>
                </c:pt>
                <c:pt idx="23">
                  <c:v>2.2190530583126034E-3</c:v>
                </c:pt>
                <c:pt idx="24">
                  <c:v>-9.8648373577461257E-3</c:v>
                </c:pt>
                <c:pt idx="25">
                  <c:v>-1.8070837017019059E-2</c:v>
                </c:pt>
                <c:pt idx="26">
                  <c:v>3.2674271142373534E-2</c:v>
                </c:pt>
                <c:pt idx="27">
                  <c:v>-5.9961694212072203E-2</c:v>
                </c:pt>
                <c:pt idx="28">
                  <c:v>-5.9294238721676606E-3</c:v>
                </c:pt>
                <c:pt idx="29">
                  <c:v>-7.6700751854538396E-2</c:v>
                </c:pt>
                <c:pt idx="30">
                  <c:v>-8.2023506704206994E-2</c:v>
                </c:pt>
                <c:pt idx="31">
                  <c:v>6.8152295244701122E-3</c:v>
                </c:pt>
                <c:pt idx="32">
                  <c:v>-0.1108031415469668</c:v>
                </c:pt>
                <c:pt idx="33">
                  <c:v>7.9088150150735004E-2</c:v>
                </c:pt>
                <c:pt idx="34">
                  <c:v>5.9791529767124096E-2</c:v>
                </c:pt>
                <c:pt idx="35">
                  <c:v>-5.8174932351875874E-2</c:v>
                </c:pt>
                <c:pt idx="36">
                  <c:v>-2.4941667696784187E-2</c:v>
                </c:pt>
                <c:pt idx="37">
                  <c:v>-1.3616995175703472E-2</c:v>
                </c:pt>
                <c:pt idx="38">
                  <c:v>2.2358869012837346E-3</c:v>
                </c:pt>
                <c:pt idx="39">
                  <c:v>8.1201680181090197E-2</c:v>
                </c:pt>
                <c:pt idx="40">
                  <c:v>5.3376065997097655E-2</c:v>
                </c:pt>
                <c:pt idx="41">
                  <c:v>1.0558991239473237E-2</c:v>
                </c:pt>
                <c:pt idx="42">
                  <c:v>1.7947358976377892E-2</c:v>
                </c:pt>
                <c:pt idx="43">
                  <c:v>2.0307053823903409E-2</c:v>
                </c:pt>
                <c:pt idx="44">
                  <c:v>-1.0865227514488041E-2</c:v>
                </c:pt>
                <c:pt idx="45">
                  <c:v>5.2068278867938744E-2</c:v>
                </c:pt>
                <c:pt idx="46">
                  <c:v>1.0868466748799044E-2</c:v>
                </c:pt>
                <c:pt idx="47">
                  <c:v>4.9073758253669553E-2</c:v>
                </c:pt>
                <c:pt idx="48">
                  <c:v>1.965435283988981E-2</c:v>
                </c:pt>
                <c:pt idx="49">
                  <c:v>1.3399678831569339E-2</c:v>
                </c:pt>
                <c:pt idx="50">
                  <c:v>-1.3296708126643964E-2</c:v>
                </c:pt>
                <c:pt idx="51">
                  <c:v>-1.9127402264143889E-2</c:v>
                </c:pt>
                <c:pt idx="52">
                  <c:v>1.6962787699414505E-2</c:v>
                </c:pt>
                <c:pt idx="53">
                  <c:v>1.8403545683337796E-2</c:v>
                </c:pt>
                <c:pt idx="54">
                  <c:v>-3.2745924147879357E-2</c:v>
                </c:pt>
                <c:pt idx="55">
                  <c:v>2.4047269678009187E-3</c:v>
                </c:pt>
                <c:pt idx="56">
                  <c:v>9.975145056818846E-3</c:v>
                </c:pt>
                <c:pt idx="57">
                  <c:v>1.2841103050013736E-2</c:v>
                </c:pt>
                <c:pt idx="58">
                  <c:v>4.3541575742112926E-2</c:v>
                </c:pt>
                <c:pt idx="59">
                  <c:v>2.9654623168434036E-2</c:v>
                </c:pt>
                <c:pt idx="60">
                  <c:v>-2.2643200930629881E-2</c:v>
                </c:pt>
                <c:pt idx="61">
                  <c:v>2.0648992967141844E-2</c:v>
                </c:pt>
                <c:pt idx="62">
                  <c:v>-1.8419553765222751E-2</c:v>
                </c:pt>
                <c:pt idx="63">
                  <c:v>-1.8962546490623566E-2</c:v>
                </c:pt>
                <c:pt idx="64">
                  <c:v>3.1757949307905875E-2</c:v>
                </c:pt>
                <c:pt idx="65">
                  <c:v>1.5283220092046079E-3</c:v>
                </c:pt>
                <c:pt idx="66">
                  <c:v>3.7468089740885446E-2</c:v>
                </c:pt>
                <c:pt idx="67">
                  <c:v>-9.4218321219017298E-3</c:v>
                </c:pt>
                <c:pt idx="68">
                  <c:v>8.0418236228414486E-3</c:v>
                </c:pt>
                <c:pt idx="69">
                  <c:v>-2.3944871596007111E-2</c:v>
                </c:pt>
                <c:pt idx="70">
                  <c:v>4.300348886068317E-2</c:v>
                </c:pt>
                <c:pt idx="71">
                  <c:v>-1.8986489135670581E-3</c:v>
                </c:pt>
                <c:pt idx="72">
                  <c:v>2.3698851121738862E-2</c:v>
                </c:pt>
                <c:pt idx="73">
                  <c:v>5.7281496126835307E-3</c:v>
                </c:pt>
                <c:pt idx="74">
                  <c:v>1.6385236718224228E-2</c:v>
                </c:pt>
                <c:pt idx="75">
                  <c:v>1.254204225118194E-2</c:v>
                </c:pt>
                <c:pt idx="76">
                  <c:v>-3.0598270079823742E-2</c:v>
                </c:pt>
                <c:pt idx="77">
                  <c:v>2.637132330008285E-3</c:v>
                </c:pt>
                <c:pt idx="78">
                  <c:v>4.4672259285620797E-3</c:v>
                </c:pt>
                <c:pt idx="79">
                  <c:v>2.1614051402662149E-2</c:v>
                </c:pt>
                <c:pt idx="80">
                  <c:v>2.6584965799581362E-2</c:v>
                </c:pt>
                <c:pt idx="81">
                  <c:v>3.1076989467288207E-2</c:v>
                </c:pt>
                <c:pt idx="82">
                  <c:v>1.9666474437471493E-2</c:v>
                </c:pt>
                <c:pt idx="83">
                  <c:v>1.3290015920631504E-2</c:v>
                </c:pt>
                <c:pt idx="84">
                  <c:v>1.4887458026627165E-2</c:v>
                </c:pt>
                <c:pt idx="85">
                  <c:v>-1.9821098951425142E-2</c:v>
                </c:pt>
                <c:pt idx="86">
                  <c:v>1.1551798767276189E-2</c:v>
                </c:pt>
                <c:pt idx="87">
                  <c:v>4.33579660429535E-2</c:v>
                </c:pt>
                <c:pt idx="88">
                  <c:v>3.3324238100336245E-2</c:v>
                </c:pt>
                <c:pt idx="89">
                  <c:v>-1.4698161285517486E-2</c:v>
                </c:pt>
                <c:pt idx="90">
                  <c:v>-3.1791051156108807E-2</c:v>
                </c:pt>
                <c:pt idx="91">
                  <c:v>1.271901030833078E-2</c:v>
                </c:pt>
                <c:pt idx="92">
                  <c:v>3.8001874218140941E-2</c:v>
                </c:pt>
                <c:pt idx="93">
                  <c:v>1.3436380296336203E-2</c:v>
                </c:pt>
                <c:pt idx="94">
                  <c:v>-3.9466488710585779E-2</c:v>
                </c:pt>
                <c:pt idx="95">
                  <c:v>-1.1302894313754308E-2</c:v>
                </c:pt>
                <c:pt idx="96">
                  <c:v>-6.2381364580160081E-2</c:v>
                </c:pt>
                <c:pt idx="97">
                  <c:v>-2.6198173656584167E-2</c:v>
                </c:pt>
                <c:pt idx="98">
                  <c:v>-8.9694012931191835E-3</c:v>
                </c:pt>
                <c:pt idx="99">
                  <c:v>4.6568413930537567E-2</c:v>
                </c:pt>
                <c:pt idx="100">
                  <c:v>1.4976031595034023E-2</c:v>
                </c:pt>
                <c:pt idx="101">
                  <c:v>-8.726346723927314E-2</c:v>
                </c:pt>
                <c:pt idx="102">
                  <c:v>-9.0330275260361859E-3</c:v>
                </c:pt>
                <c:pt idx="103">
                  <c:v>1.5316297056179984E-2</c:v>
                </c:pt>
                <c:pt idx="104">
                  <c:v>-9.8849088445080113E-2</c:v>
                </c:pt>
                <c:pt idx="105">
                  <c:v>-0.18057145272270336</c:v>
                </c:pt>
                <c:pt idx="106">
                  <c:v>-7.2113615096951911E-2</c:v>
                </c:pt>
                <c:pt idx="107">
                  <c:v>9.6858777553219255E-3</c:v>
                </c:pt>
                <c:pt idx="108">
                  <c:v>-8.5612439313209165E-2</c:v>
                </c:pt>
                <c:pt idx="109">
                  <c:v>-0.11366168990810532</c:v>
                </c:pt>
                <c:pt idx="110">
                  <c:v>7.9932338488500676E-2</c:v>
                </c:pt>
                <c:pt idx="111">
                  <c:v>9.4707951541619373E-2</c:v>
                </c:pt>
                <c:pt idx="112">
                  <c:v>5.6790206836508261E-2</c:v>
                </c:pt>
                <c:pt idx="113">
                  <c:v>-5.6931399203552502E-4</c:v>
                </c:pt>
                <c:pt idx="114">
                  <c:v>7.1949771173487775E-2</c:v>
                </c:pt>
                <c:pt idx="115">
                  <c:v>3.6220006654779091E-2</c:v>
                </c:pt>
                <c:pt idx="116">
                  <c:v>3.4855132785299503E-2</c:v>
                </c:pt>
                <c:pt idx="117">
                  <c:v>-1.9437442256811543E-2</c:v>
                </c:pt>
                <c:pt idx="118">
                  <c:v>5.9777583290697045E-2</c:v>
                </c:pt>
                <c:pt idx="119">
                  <c:v>1.8971267696449523E-2</c:v>
                </c:pt>
                <c:pt idx="120">
                  <c:v>-3.7053558989226687E-2</c:v>
                </c:pt>
                <c:pt idx="121">
                  <c:v>3.0707294105858374E-2</c:v>
                </c:pt>
                <c:pt idx="122">
                  <c:v>5.5007948161940767E-2</c:v>
                </c:pt>
                <c:pt idx="123">
                  <c:v>1.5388301017094541E-2</c:v>
                </c:pt>
                <c:pt idx="124">
                  <c:v>-8.2831642586921994E-2</c:v>
                </c:pt>
                <c:pt idx="125">
                  <c:v>-5.3146020696628327E-2</c:v>
                </c:pt>
                <c:pt idx="126">
                  <c:v>6.6143001539716195E-2</c:v>
                </c:pt>
                <c:pt idx="127">
                  <c:v>-4.6052266900979966E-2</c:v>
                </c:pt>
                <c:pt idx="128">
                  <c:v>8.5769506180656485E-2</c:v>
                </c:pt>
                <c:pt idx="129">
                  <c:v>3.7507153984022601E-2</c:v>
                </c:pt>
                <c:pt idx="130">
                  <c:v>0</c:v>
                </c:pt>
                <c:pt idx="131">
                  <c:v>6.472797915288897E-2</c:v>
                </c:pt>
                <c:pt idx="132">
                  <c:v>2.3033801935680387E-2</c:v>
                </c:pt>
                <c:pt idx="133">
                  <c:v>3.4084016779736714E-2</c:v>
                </c:pt>
                <c:pt idx="134">
                  <c:v>1.5335071338107298E-4</c:v>
                </c:pt>
                <c:pt idx="135">
                  <c:v>2.8569053027522884E-2</c:v>
                </c:pt>
                <c:pt idx="136">
                  <c:v>-1.131479607155228E-2</c:v>
                </c:pt>
                <c:pt idx="137">
                  <c:v>-1.7024274970212083E-2</c:v>
                </c:pt>
                <c:pt idx="138">
                  <c:v>-2.0208964630754167E-2</c:v>
                </c:pt>
                <c:pt idx="139">
                  <c:v>-5.6555867026601092E-2</c:v>
                </c:pt>
                <c:pt idx="140">
                  <c:v>-7.1882088672263755E-2</c:v>
                </c:pt>
                <c:pt idx="141">
                  <c:v>0.10357129589432468</c:v>
                </c:pt>
                <c:pt idx="142">
                  <c:v>-4.0978724332774163E-3</c:v>
                </c:pt>
                <c:pt idx="143">
                  <c:v>1.0412589072460676E-2</c:v>
                </c:pt>
                <c:pt idx="144">
                  <c:v>4.5331334061552653E-2</c:v>
                </c:pt>
                <c:pt idx="145">
                  <c:v>2.3555290081482383E-2</c:v>
                </c:pt>
              </c:numCache>
            </c:numRef>
          </c:val>
          <c:smooth val="0"/>
        </c:ser>
        <c:ser>
          <c:idx val="1"/>
          <c:order val="1"/>
          <c:tx>
            <c:v>WMA(lhs)</c:v>
          </c:tx>
          <c:spPr>
            <a:ln w="1905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monthly!$A$2:$A$147</c:f>
              <c:numCache>
                <c:formatCode>m/d/yyyy</c:formatCode>
                <c:ptCount val="146"/>
                <c:pt idx="0">
                  <c:v>36528</c:v>
                </c:pt>
                <c:pt idx="1">
                  <c:v>36557</c:v>
                </c:pt>
                <c:pt idx="2">
                  <c:v>36586</c:v>
                </c:pt>
                <c:pt idx="3">
                  <c:v>36619</c:v>
                </c:pt>
                <c:pt idx="4">
                  <c:v>36647</c:v>
                </c:pt>
                <c:pt idx="5">
                  <c:v>36678</c:v>
                </c:pt>
                <c:pt idx="6">
                  <c:v>36710</c:v>
                </c:pt>
                <c:pt idx="7">
                  <c:v>36739</c:v>
                </c:pt>
                <c:pt idx="8">
                  <c:v>36770</c:v>
                </c:pt>
                <c:pt idx="9">
                  <c:v>36801</c:v>
                </c:pt>
                <c:pt idx="10">
                  <c:v>36831</c:v>
                </c:pt>
                <c:pt idx="11">
                  <c:v>36861</c:v>
                </c:pt>
                <c:pt idx="12">
                  <c:v>36893</c:v>
                </c:pt>
                <c:pt idx="13">
                  <c:v>36923</c:v>
                </c:pt>
                <c:pt idx="14">
                  <c:v>36951</c:v>
                </c:pt>
                <c:pt idx="15">
                  <c:v>36983</c:v>
                </c:pt>
                <c:pt idx="16">
                  <c:v>37012</c:v>
                </c:pt>
                <c:pt idx="17">
                  <c:v>37043</c:v>
                </c:pt>
                <c:pt idx="18">
                  <c:v>37074</c:v>
                </c:pt>
                <c:pt idx="19">
                  <c:v>37104</c:v>
                </c:pt>
                <c:pt idx="20">
                  <c:v>37138</c:v>
                </c:pt>
                <c:pt idx="21">
                  <c:v>37165</c:v>
                </c:pt>
                <c:pt idx="22">
                  <c:v>37196</c:v>
                </c:pt>
                <c:pt idx="23">
                  <c:v>37228</c:v>
                </c:pt>
                <c:pt idx="24">
                  <c:v>37258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37410</c:v>
                </c:pt>
                <c:pt idx="30">
                  <c:v>37438</c:v>
                </c:pt>
                <c:pt idx="31">
                  <c:v>37469</c:v>
                </c:pt>
                <c:pt idx="32">
                  <c:v>37502</c:v>
                </c:pt>
                <c:pt idx="33">
                  <c:v>37530</c:v>
                </c:pt>
                <c:pt idx="34">
                  <c:v>37561</c:v>
                </c:pt>
                <c:pt idx="35">
                  <c:v>37592</c:v>
                </c:pt>
                <c:pt idx="36">
                  <c:v>37623</c:v>
                </c:pt>
                <c:pt idx="37">
                  <c:v>37655</c:v>
                </c:pt>
                <c:pt idx="38">
                  <c:v>37683</c:v>
                </c:pt>
                <c:pt idx="39">
                  <c:v>37712</c:v>
                </c:pt>
                <c:pt idx="40">
                  <c:v>37742</c:v>
                </c:pt>
                <c:pt idx="41">
                  <c:v>37774</c:v>
                </c:pt>
                <c:pt idx="42">
                  <c:v>37803</c:v>
                </c:pt>
                <c:pt idx="43">
                  <c:v>37834</c:v>
                </c:pt>
                <c:pt idx="44">
                  <c:v>37866</c:v>
                </c:pt>
                <c:pt idx="45">
                  <c:v>37895</c:v>
                </c:pt>
                <c:pt idx="46">
                  <c:v>37928</c:v>
                </c:pt>
                <c:pt idx="47">
                  <c:v>37956</c:v>
                </c:pt>
                <c:pt idx="48">
                  <c:v>37988</c:v>
                </c:pt>
                <c:pt idx="49">
                  <c:v>38019</c:v>
                </c:pt>
                <c:pt idx="50">
                  <c:v>38047</c:v>
                </c:pt>
                <c:pt idx="51">
                  <c:v>38078</c:v>
                </c:pt>
                <c:pt idx="52">
                  <c:v>38110</c:v>
                </c:pt>
                <c:pt idx="53">
                  <c:v>38139</c:v>
                </c:pt>
                <c:pt idx="54">
                  <c:v>38169</c:v>
                </c:pt>
                <c:pt idx="55">
                  <c:v>38201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38355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38474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38628</c:v>
                </c:pt>
                <c:pt idx="70">
                  <c:v>38657</c:v>
                </c:pt>
                <c:pt idx="71">
                  <c:v>38687</c:v>
                </c:pt>
                <c:pt idx="72">
                  <c:v>38720</c:v>
                </c:pt>
                <c:pt idx="73">
                  <c:v>38749</c:v>
                </c:pt>
                <c:pt idx="74">
                  <c:v>38777</c:v>
                </c:pt>
                <c:pt idx="75">
                  <c:v>38810</c:v>
                </c:pt>
                <c:pt idx="76">
                  <c:v>38838</c:v>
                </c:pt>
                <c:pt idx="77">
                  <c:v>38869</c:v>
                </c:pt>
                <c:pt idx="78">
                  <c:v>38901</c:v>
                </c:pt>
                <c:pt idx="79">
                  <c:v>38930</c:v>
                </c:pt>
                <c:pt idx="80">
                  <c:v>38961</c:v>
                </c:pt>
                <c:pt idx="81">
                  <c:v>38992</c:v>
                </c:pt>
                <c:pt idx="82">
                  <c:v>39022</c:v>
                </c:pt>
                <c:pt idx="83">
                  <c:v>39052</c:v>
                </c:pt>
                <c:pt idx="84">
                  <c:v>39085</c:v>
                </c:pt>
                <c:pt idx="85">
                  <c:v>39114</c:v>
                </c:pt>
                <c:pt idx="86">
                  <c:v>39142</c:v>
                </c:pt>
                <c:pt idx="87">
                  <c:v>39174</c:v>
                </c:pt>
                <c:pt idx="88">
                  <c:v>39203</c:v>
                </c:pt>
                <c:pt idx="89">
                  <c:v>39234</c:v>
                </c:pt>
                <c:pt idx="90">
                  <c:v>39265</c:v>
                </c:pt>
                <c:pt idx="91">
                  <c:v>39295</c:v>
                </c:pt>
                <c:pt idx="92">
                  <c:v>39329</c:v>
                </c:pt>
                <c:pt idx="93">
                  <c:v>39356</c:v>
                </c:pt>
                <c:pt idx="94">
                  <c:v>39387</c:v>
                </c:pt>
                <c:pt idx="95">
                  <c:v>39419</c:v>
                </c:pt>
                <c:pt idx="96">
                  <c:v>39449</c:v>
                </c:pt>
                <c:pt idx="97">
                  <c:v>39479</c:v>
                </c:pt>
                <c:pt idx="98">
                  <c:v>39510</c:v>
                </c:pt>
                <c:pt idx="99">
                  <c:v>39539</c:v>
                </c:pt>
                <c:pt idx="100">
                  <c:v>39569</c:v>
                </c:pt>
                <c:pt idx="101">
                  <c:v>39601</c:v>
                </c:pt>
                <c:pt idx="102">
                  <c:v>39630</c:v>
                </c:pt>
                <c:pt idx="103">
                  <c:v>39661</c:v>
                </c:pt>
                <c:pt idx="104">
                  <c:v>39693</c:v>
                </c:pt>
                <c:pt idx="105">
                  <c:v>39722</c:v>
                </c:pt>
                <c:pt idx="106">
                  <c:v>39755</c:v>
                </c:pt>
                <c:pt idx="107">
                  <c:v>39783</c:v>
                </c:pt>
                <c:pt idx="108">
                  <c:v>39815</c:v>
                </c:pt>
                <c:pt idx="109">
                  <c:v>39846</c:v>
                </c:pt>
                <c:pt idx="110">
                  <c:v>39874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40028</c:v>
                </c:pt>
                <c:pt idx="116">
                  <c:v>40057</c:v>
                </c:pt>
                <c:pt idx="117">
                  <c:v>40087</c:v>
                </c:pt>
                <c:pt idx="118">
                  <c:v>40119</c:v>
                </c:pt>
                <c:pt idx="119">
                  <c:v>40148</c:v>
                </c:pt>
                <c:pt idx="120">
                  <c:v>40182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40301</c:v>
                </c:pt>
                <c:pt idx="125">
                  <c:v>40330</c:v>
                </c:pt>
                <c:pt idx="126">
                  <c:v>40360</c:v>
                </c:pt>
                <c:pt idx="127">
                  <c:v>40392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40546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40665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40819</c:v>
                </c:pt>
                <c:pt idx="142">
                  <c:v>40848</c:v>
                </c:pt>
                <c:pt idx="143">
                  <c:v>40878</c:v>
                </c:pt>
                <c:pt idx="144">
                  <c:v>40911</c:v>
                </c:pt>
                <c:pt idx="145">
                  <c:v>40940</c:v>
                </c:pt>
              </c:numCache>
            </c:numRef>
          </c:cat>
          <c:val>
            <c:numRef>
              <c:f>monthly!$I$2:$I$147</c:f>
              <c:numCache>
                <c:formatCode>0.00%</c:formatCode>
                <c:ptCount val="146"/>
                <c:pt idx="0">
                  <c:v>#N/A</c:v>
                </c:pt>
                <c:pt idx="1">
                  <c:v>-1.5276964666604442E-2</c:v>
                </c:pt>
                <c:pt idx="2">
                  <c:v>3.8619247383214983E-2</c:v>
                </c:pt>
                <c:pt idx="3">
                  <c:v>1.3812938715397276E-2</c:v>
                </c:pt>
                <c:pt idx="4">
                  <c:v>6.3961024320085009E-3</c:v>
                </c:pt>
                <c:pt idx="5">
                  <c:v>9.0137168393541259E-3</c:v>
                </c:pt>
                <c:pt idx="6">
                  <c:v>4.8786795643853704E-3</c:v>
                </c:pt>
                <c:pt idx="7">
                  <c:v>1.322025965539288E-2</c:v>
                </c:pt>
                <c:pt idx="8">
                  <c:v>4.5227367183123812E-3</c:v>
                </c:pt>
                <c:pt idx="9">
                  <c:v>3.4899816961922636E-3</c:v>
                </c:pt>
                <c:pt idx="10">
                  <c:v>-4.6180087268374408E-3</c:v>
                </c:pt>
                <c:pt idx="11">
                  <c:v>-4.7031013017954388E-3</c:v>
                </c:pt>
                <c:pt idx="12">
                  <c:v>-6.8593563368287303E-4</c:v>
                </c:pt>
                <c:pt idx="13">
                  <c:v>-7.7644482579165182E-3</c:v>
                </c:pt>
                <c:pt idx="14">
                  <c:v>-2.0284960685046073E-2</c:v>
                </c:pt>
                <c:pt idx="15">
                  <c:v>-1.046879560324343E-2</c:v>
                </c:pt>
                <c:pt idx="16">
                  <c:v>-9.6123398626868379E-3</c:v>
                </c:pt>
                <c:pt idx="17">
                  <c:v>-1.3252969984330084E-2</c:v>
                </c:pt>
                <c:pt idx="18">
                  <c:v>-1.2788841663449919E-2</c:v>
                </c:pt>
                <c:pt idx="19">
                  <c:v>-2.3153925609834689E-2</c:v>
                </c:pt>
                <c:pt idx="20">
                  <c:v>-2.5558857489514846E-2</c:v>
                </c:pt>
                <c:pt idx="21">
                  <c:v>-2.4080348225026395E-2</c:v>
                </c:pt>
                <c:pt idx="22">
                  <c:v>-1.1355406626681957E-2</c:v>
                </c:pt>
                <c:pt idx="23">
                  <c:v>-1.0707649950874622E-2</c:v>
                </c:pt>
                <c:pt idx="24">
                  <c:v>-1.515496029031641E-2</c:v>
                </c:pt>
                <c:pt idx="25">
                  <c:v>-8.309270361950654E-3</c:v>
                </c:pt>
                <c:pt idx="26">
                  <c:v>-7.7552362570950349E-4</c:v>
                </c:pt>
                <c:pt idx="27">
                  <c:v>-1.2605190006831656E-2</c:v>
                </c:pt>
                <c:pt idx="28">
                  <c:v>-1.2634563868555734E-2</c:v>
                </c:pt>
                <c:pt idx="29">
                  <c:v>-1.7009344273852072E-2</c:v>
                </c:pt>
                <c:pt idx="30">
                  <c:v>-2.2992389252544616E-2</c:v>
                </c:pt>
                <c:pt idx="31">
                  <c:v>-1.7331847862573836E-2</c:v>
                </c:pt>
                <c:pt idx="32">
                  <c:v>-1.9463850791703319E-2</c:v>
                </c:pt>
                <c:pt idx="33">
                  <c:v>-1.3954009336899793E-2</c:v>
                </c:pt>
                <c:pt idx="34">
                  <c:v>-1.5230496576808488E-2</c:v>
                </c:pt>
                <c:pt idx="35">
                  <c:v>-2.0263328694324199E-2</c:v>
                </c:pt>
                <c:pt idx="36">
                  <c:v>-2.1519731222577367E-2</c:v>
                </c:pt>
                <c:pt idx="37">
                  <c:v>-2.1148577735801071E-2</c:v>
                </c:pt>
                <c:pt idx="38">
                  <c:v>-2.368510975589188E-2</c:v>
                </c:pt>
                <c:pt idx="39">
                  <c:v>-1.1921495223128353E-2</c:v>
                </c:pt>
                <c:pt idx="40">
                  <c:v>-6.9793710673562454E-3</c:v>
                </c:pt>
                <c:pt idx="41">
                  <c:v>2.9227419047805523E-4</c:v>
                </c:pt>
                <c:pt idx="42">
                  <c:v>8.6231796638601317E-3</c:v>
                </c:pt>
                <c:pt idx="43">
                  <c:v>9.7474983554795731E-3</c:v>
                </c:pt>
                <c:pt idx="44">
                  <c:v>1.8075657858186139E-2</c:v>
                </c:pt>
                <c:pt idx="45">
                  <c:v>1.5824001917953114E-2</c:v>
                </c:pt>
                <c:pt idx="46">
                  <c:v>1.1747079999759361E-2</c:v>
                </c:pt>
                <c:pt idx="47">
                  <c:v>2.0684470883554813E-2</c:v>
                </c:pt>
                <c:pt idx="48">
                  <c:v>2.4400805928277647E-2</c:v>
                </c:pt>
                <c:pt idx="49">
                  <c:v>2.6652195428883713E-2</c:v>
                </c:pt>
                <c:pt idx="50">
                  <c:v>2.5357812509889738E-2</c:v>
                </c:pt>
                <c:pt idx="51">
                  <c:v>1.6997055639453567E-2</c:v>
                </c:pt>
                <c:pt idx="52">
                  <c:v>1.39626157813133E-2</c:v>
                </c:pt>
                <c:pt idx="53">
                  <c:v>1.4616328651635349E-2</c:v>
                </c:pt>
                <c:pt idx="54">
                  <c:v>1.0391888391280579E-2</c:v>
                </c:pt>
                <c:pt idx="55">
                  <c:v>8.9000278199387051E-3</c:v>
                </c:pt>
                <c:pt idx="56">
                  <c:v>1.0636725534214278E-2</c:v>
                </c:pt>
                <c:pt idx="57">
                  <c:v>7.367794216053861E-3</c:v>
                </c:pt>
                <c:pt idx="58">
                  <c:v>1.0090553298830018E-2</c:v>
                </c:pt>
                <c:pt idx="59">
                  <c:v>8.4722920417270586E-3</c:v>
                </c:pt>
                <c:pt idx="60">
                  <c:v>4.947495894183751E-3</c:v>
                </c:pt>
                <c:pt idx="61">
                  <c:v>5.5516054054814603E-3</c:v>
                </c:pt>
                <c:pt idx="62">
                  <c:v>5.1247016022665601E-3</c:v>
                </c:pt>
                <c:pt idx="63">
                  <c:v>5.1384395833932546E-3</c:v>
                </c:pt>
                <c:pt idx="64">
                  <c:v>6.3713697174342023E-3</c:v>
                </c:pt>
                <c:pt idx="65">
                  <c:v>4.9651010779231024E-3</c:v>
                </c:pt>
                <c:pt idx="66">
                  <c:v>1.0816268901986836E-2</c:v>
                </c:pt>
                <c:pt idx="67">
                  <c:v>9.8307223111782829E-3</c:v>
                </c:pt>
                <c:pt idx="68">
                  <c:v>9.6696121916801676E-3</c:v>
                </c:pt>
                <c:pt idx="69">
                  <c:v>6.6041143045117616E-3</c:v>
                </c:pt>
                <c:pt idx="70">
                  <c:v>6.5592737310592817E-3</c:v>
                </c:pt>
                <c:pt idx="71">
                  <c:v>3.9298343908925251E-3</c:v>
                </c:pt>
                <c:pt idx="72">
                  <c:v>7.7916720619232525E-3</c:v>
                </c:pt>
                <c:pt idx="73">
                  <c:v>6.5482684490517275E-3</c:v>
                </c:pt>
                <c:pt idx="74">
                  <c:v>9.4486676560056413E-3</c:v>
                </c:pt>
                <c:pt idx="75">
                  <c:v>1.20740500511561E-2</c:v>
                </c:pt>
                <c:pt idx="76">
                  <c:v>6.8776984355119674E-3</c:v>
                </c:pt>
                <c:pt idx="77">
                  <c:v>6.9700992955789402E-3</c:v>
                </c:pt>
                <c:pt idx="78">
                  <c:v>4.2200273112186579E-3</c:v>
                </c:pt>
                <c:pt idx="79">
                  <c:v>6.8063509382656484E-3</c:v>
                </c:pt>
                <c:pt idx="80">
                  <c:v>8.3516127863273067E-3</c:v>
                </c:pt>
                <c:pt idx="81">
                  <c:v>1.2936767874935251E-2</c:v>
                </c:pt>
                <c:pt idx="82">
                  <c:v>1.0992016673000943E-2</c:v>
                </c:pt>
                <c:pt idx="83">
                  <c:v>1.2257738742517491E-2</c:v>
                </c:pt>
                <c:pt idx="84">
                  <c:v>1.1523455984591516E-2</c:v>
                </c:pt>
                <c:pt idx="85">
                  <c:v>9.39435193758246E-3</c:v>
                </c:pt>
                <c:pt idx="86">
                  <c:v>8.9915654416701241E-3</c:v>
                </c:pt>
                <c:pt idx="87">
                  <c:v>1.1559559090984418E-2</c:v>
                </c:pt>
                <c:pt idx="88">
                  <c:v>1.6886434772664421E-2</c:v>
                </c:pt>
                <c:pt idx="89">
                  <c:v>1.5441826971370606E-2</c:v>
                </c:pt>
                <c:pt idx="90">
                  <c:v>1.2420303880981365E-2</c:v>
                </c:pt>
                <c:pt idx="91">
                  <c:v>1.167905045645375E-2</c:v>
                </c:pt>
                <c:pt idx="92">
                  <c:v>1.2630459491333715E-2</c:v>
                </c:pt>
                <c:pt idx="93">
                  <c:v>1.1160408727087717E-2</c:v>
                </c:pt>
                <c:pt idx="94">
                  <c:v>6.2326617980829448E-3</c:v>
                </c:pt>
                <c:pt idx="95">
                  <c:v>4.1832526118841269E-3</c:v>
                </c:pt>
                <c:pt idx="96">
                  <c:v>-2.2558159386814776E-3</c:v>
                </c:pt>
                <c:pt idx="97">
                  <c:v>-2.7872388307780618E-3</c:v>
                </c:pt>
                <c:pt idx="98">
                  <c:v>-4.4973388358110098E-3</c:v>
                </c:pt>
                <c:pt idx="99">
                  <c:v>-4.2298015118456718E-3</c:v>
                </c:pt>
                <c:pt idx="100">
                  <c:v>-5.758818720620857E-3</c:v>
                </c:pt>
                <c:pt idx="101">
                  <c:v>-1.1805927550100494E-2</c:v>
                </c:pt>
                <c:pt idx="102">
                  <c:v>-9.9094255809277776E-3</c:v>
                </c:pt>
                <c:pt idx="103">
                  <c:v>-9.6929850186070095E-3</c:v>
                </c:pt>
                <c:pt idx="104">
                  <c:v>-2.1097231907208764E-2</c:v>
                </c:pt>
                <c:pt idx="105">
                  <c:v>-3.726455132546206E-2</c:v>
                </c:pt>
                <c:pt idx="106">
                  <c:v>-3.9985145190992569E-2</c:v>
                </c:pt>
                <c:pt idx="107">
                  <c:v>-3.8236080851902887E-2</c:v>
                </c:pt>
                <c:pt idx="108">
                  <c:v>-4.017200374632364E-2</c:v>
                </c:pt>
                <c:pt idx="109">
                  <c:v>-4.7460630100617067E-2</c:v>
                </c:pt>
                <c:pt idx="110">
                  <c:v>-4.0052151785482083E-2</c:v>
                </c:pt>
                <c:pt idx="111">
                  <c:v>-3.6040523651225266E-2</c:v>
                </c:pt>
                <c:pt idx="112">
                  <c:v>-3.2556009047769077E-2</c:v>
                </c:pt>
                <c:pt idx="113">
                  <c:v>-2.5331496277165948E-2</c:v>
                </c:pt>
                <c:pt idx="114">
                  <c:v>-1.8582929718872279E-2</c:v>
                </c:pt>
                <c:pt idx="115">
                  <c:v>-1.6840953918989026E-2</c:v>
                </c:pt>
                <c:pt idx="116">
                  <c:v>-5.698935483124056E-3</c:v>
                </c:pt>
                <c:pt idx="117">
                  <c:v>7.7288987223669281E-3</c:v>
                </c:pt>
                <c:pt idx="118">
                  <c:v>1.8719831921337672E-2</c:v>
                </c:pt>
                <c:pt idx="119">
                  <c:v>1.9493614416431639E-2</c:v>
                </c:pt>
                <c:pt idx="120">
                  <c:v>2.3540187776763508E-2</c:v>
                </c:pt>
                <c:pt idx="121">
                  <c:v>3.5570936444593818E-2</c:v>
                </c:pt>
                <c:pt idx="122">
                  <c:v>3.3493903917380496E-2</c:v>
                </c:pt>
                <c:pt idx="123">
                  <c:v>2.6883933040336757E-2</c:v>
                </c:pt>
                <c:pt idx="124">
                  <c:v>1.524877892171757E-2</c:v>
                </c:pt>
                <c:pt idx="125">
                  <c:v>1.0867386696334838E-2</c:v>
                </c:pt>
                <c:pt idx="126">
                  <c:v>1.0383489226853872E-2</c:v>
                </c:pt>
                <c:pt idx="127">
                  <c:v>3.5274664305406183E-3</c:v>
                </c:pt>
                <c:pt idx="128">
                  <c:v>7.7703308801537006E-3</c:v>
                </c:pt>
                <c:pt idx="129">
                  <c:v>1.2515713900223213E-2</c:v>
                </c:pt>
                <c:pt idx="130">
                  <c:v>7.5342486259984591E-3</c:v>
                </c:pt>
                <c:pt idx="131">
                  <c:v>1.1347307914035078E-2</c:v>
                </c:pt>
                <c:pt idx="132">
                  <c:v>1.635458799111067E-2</c:v>
                </c:pt>
                <c:pt idx="133">
                  <c:v>1.6635981547267194E-2</c:v>
                </c:pt>
                <c:pt idx="134">
                  <c:v>1.2064765093220556E-2</c:v>
                </c:pt>
                <c:pt idx="135">
                  <c:v>1.3163161094089585E-2</c:v>
                </c:pt>
                <c:pt idx="136">
                  <c:v>1.9122898303703728E-2</c:v>
                </c:pt>
                <c:pt idx="137">
                  <c:v>2.2133043780905082E-2</c:v>
                </c:pt>
                <c:pt idx="138">
                  <c:v>1.493704660003255E-2</c:v>
                </c:pt>
                <c:pt idx="139">
                  <c:v>1.4061746589564128E-2</c:v>
                </c:pt>
                <c:pt idx="140">
                  <c:v>9.241136851541043E-4</c:v>
                </c:pt>
                <c:pt idx="141">
                  <c:v>6.4294588443459429E-3</c:v>
                </c:pt>
                <c:pt idx="142">
                  <c:v>6.0879694749061582E-3</c:v>
                </c:pt>
                <c:pt idx="143">
                  <c:v>1.5616869682038015E-3</c:v>
                </c:pt>
                <c:pt idx="144">
                  <c:v>3.4198146453598239E-3</c:v>
                </c:pt>
                <c:pt idx="145">
                  <c:v>2.5424207538386283E-3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367808"/>
        <c:axId val="235349120"/>
      </c:lineChart>
      <c:lineChart>
        <c:grouping val="standard"/>
        <c:varyColors val="0"/>
        <c:ser>
          <c:idx val="2"/>
          <c:order val="2"/>
          <c:tx>
            <c:v>EWMA(RHS)</c:v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monthly!$A$2:$A$147</c:f>
              <c:numCache>
                <c:formatCode>m/d/yyyy</c:formatCode>
                <c:ptCount val="146"/>
                <c:pt idx="0">
                  <c:v>36528</c:v>
                </c:pt>
                <c:pt idx="1">
                  <c:v>36557</c:v>
                </c:pt>
                <c:pt idx="2">
                  <c:v>36586</c:v>
                </c:pt>
                <c:pt idx="3">
                  <c:v>36619</c:v>
                </c:pt>
                <c:pt idx="4">
                  <c:v>36647</c:v>
                </c:pt>
                <c:pt idx="5">
                  <c:v>36678</c:v>
                </c:pt>
                <c:pt idx="6">
                  <c:v>36710</c:v>
                </c:pt>
                <c:pt idx="7">
                  <c:v>36739</c:v>
                </c:pt>
                <c:pt idx="8">
                  <c:v>36770</c:v>
                </c:pt>
                <c:pt idx="9">
                  <c:v>36801</c:v>
                </c:pt>
                <c:pt idx="10">
                  <c:v>36831</c:v>
                </c:pt>
                <c:pt idx="11">
                  <c:v>36861</c:v>
                </c:pt>
                <c:pt idx="12">
                  <c:v>36893</c:v>
                </c:pt>
                <c:pt idx="13">
                  <c:v>36923</c:v>
                </c:pt>
                <c:pt idx="14">
                  <c:v>36951</c:v>
                </c:pt>
                <c:pt idx="15">
                  <c:v>36983</c:v>
                </c:pt>
                <c:pt idx="16">
                  <c:v>37012</c:v>
                </c:pt>
                <c:pt idx="17">
                  <c:v>37043</c:v>
                </c:pt>
                <c:pt idx="18">
                  <c:v>37074</c:v>
                </c:pt>
                <c:pt idx="19">
                  <c:v>37104</c:v>
                </c:pt>
                <c:pt idx="20">
                  <c:v>37138</c:v>
                </c:pt>
                <c:pt idx="21">
                  <c:v>37165</c:v>
                </c:pt>
                <c:pt idx="22">
                  <c:v>37196</c:v>
                </c:pt>
                <c:pt idx="23">
                  <c:v>37228</c:v>
                </c:pt>
                <c:pt idx="24">
                  <c:v>37258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37410</c:v>
                </c:pt>
                <c:pt idx="30">
                  <c:v>37438</c:v>
                </c:pt>
                <c:pt idx="31">
                  <c:v>37469</c:v>
                </c:pt>
                <c:pt idx="32">
                  <c:v>37502</c:v>
                </c:pt>
                <c:pt idx="33">
                  <c:v>37530</c:v>
                </c:pt>
                <c:pt idx="34">
                  <c:v>37561</c:v>
                </c:pt>
                <c:pt idx="35">
                  <c:v>37592</c:v>
                </c:pt>
                <c:pt idx="36">
                  <c:v>37623</c:v>
                </c:pt>
                <c:pt idx="37">
                  <c:v>37655</c:v>
                </c:pt>
                <c:pt idx="38">
                  <c:v>37683</c:v>
                </c:pt>
                <c:pt idx="39">
                  <c:v>37712</c:v>
                </c:pt>
                <c:pt idx="40">
                  <c:v>37742</c:v>
                </c:pt>
                <c:pt idx="41">
                  <c:v>37774</c:v>
                </c:pt>
                <c:pt idx="42">
                  <c:v>37803</c:v>
                </c:pt>
                <c:pt idx="43">
                  <c:v>37834</c:v>
                </c:pt>
                <c:pt idx="44">
                  <c:v>37866</c:v>
                </c:pt>
                <c:pt idx="45">
                  <c:v>37895</c:v>
                </c:pt>
                <c:pt idx="46">
                  <c:v>37928</c:v>
                </c:pt>
                <c:pt idx="47">
                  <c:v>37956</c:v>
                </c:pt>
                <c:pt idx="48">
                  <c:v>37988</c:v>
                </c:pt>
                <c:pt idx="49">
                  <c:v>38019</c:v>
                </c:pt>
                <c:pt idx="50">
                  <c:v>38047</c:v>
                </c:pt>
                <c:pt idx="51">
                  <c:v>38078</c:v>
                </c:pt>
                <c:pt idx="52">
                  <c:v>38110</c:v>
                </c:pt>
                <c:pt idx="53">
                  <c:v>38139</c:v>
                </c:pt>
                <c:pt idx="54">
                  <c:v>38169</c:v>
                </c:pt>
                <c:pt idx="55">
                  <c:v>38201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38355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38474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38628</c:v>
                </c:pt>
                <c:pt idx="70">
                  <c:v>38657</c:v>
                </c:pt>
                <c:pt idx="71">
                  <c:v>38687</c:v>
                </c:pt>
                <c:pt idx="72">
                  <c:v>38720</c:v>
                </c:pt>
                <c:pt idx="73">
                  <c:v>38749</c:v>
                </c:pt>
                <c:pt idx="74">
                  <c:v>38777</c:v>
                </c:pt>
                <c:pt idx="75">
                  <c:v>38810</c:v>
                </c:pt>
                <c:pt idx="76">
                  <c:v>38838</c:v>
                </c:pt>
                <c:pt idx="77">
                  <c:v>38869</c:v>
                </c:pt>
                <c:pt idx="78">
                  <c:v>38901</c:v>
                </c:pt>
                <c:pt idx="79">
                  <c:v>38930</c:v>
                </c:pt>
                <c:pt idx="80">
                  <c:v>38961</c:v>
                </c:pt>
                <c:pt idx="81">
                  <c:v>38992</c:v>
                </c:pt>
                <c:pt idx="82">
                  <c:v>39022</c:v>
                </c:pt>
                <c:pt idx="83">
                  <c:v>39052</c:v>
                </c:pt>
                <c:pt idx="84">
                  <c:v>39085</c:v>
                </c:pt>
                <c:pt idx="85">
                  <c:v>39114</c:v>
                </c:pt>
                <c:pt idx="86">
                  <c:v>39142</c:v>
                </c:pt>
                <c:pt idx="87">
                  <c:v>39174</c:v>
                </c:pt>
                <c:pt idx="88">
                  <c:v>39203</c:v>
                </c:pt>
                <c:pt idx="89">
                  <c:v>39234</c:v>
                </c:pt>
                <c:pt idx="90">
                  <c:v>39265</c:v>
                </c:pt>
                <c:pt idx="91">
                  <c:v>39295</c:v>
                </c:pt>
                <c:pt idx="92">
                  <c:v>39329</c:v>
                </c:pt>
                <c:pt idx="93">
                  <c:v>39356</c:v>
                </c:pt>
                <c:pt idx="94">
                  <c:v>39387</c:v>
                </c:pt>
                <c:pt idx="95">
                  <c:v>39419</c:v>
                </c:pt>
                <c:pt idx="96">
                  <c:v>39449</c:v>
                </c:pt>
                <c:pt idx="97">
                  <c:v>39479</c:v>
                </c:pt>
                <c:pt idx="98">
                  <c:v>39510</c:v>
                </c:pt>
                <c:pt idx="99">
                  <c:v>39539</c:v>
                </c:pt>
                <c:pt idx="100">
                  <c:v>39569</c:v>
                </c:pt>
                <c:pt idx="101">
                  <c:v>39601</c:v>
                </c:pt>
                <c:pt idx="102">
                  <c:v>39630</c:v>
                </c:pt>
                <c:pt idx="103">
                  <c:v>39661</c:v>
                </c:pt>
                <c:pt idx="104">
                  <c:v>39693</c:v>
                </c:pt>
                <c:pt idx="105">
                  <c:v>39722</c:v>
                </c:pt>
                <c:pt idx="106">
                  <c:v>39755</c:v>
                </c:pt>
                <c:pt idx="107">
                  <c:v>39783</c:v>
                </c:pt>
                <c:pt idx="108">
                  <c:v>39815</c:v>
                </c:pt>
                <c:pt idx="109">
                  <c:v>39846</c:v>
                </c:pt>
                <c:pt idx="110">
                  <c:v>39874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40028</c:v>
                </c:pt>
                <c:pt idx="116">
                  <c:v>40057</c:v>
                </c:pt>
                <c:pt idx="117">
                  <c:v>40087</c:v>
                </c:pt>
                <c:pt idx="118">
                  <c:v>40119</c:v>
                </c:pt>
                <c:pt idx="119">
                  <c:v>40148</c:v>
                </c:pt>
                <c:pt idx="120">
                  <c:v>40182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40301</c:v>
                </c:pt>
                <c:pt idx="125">
                  <c:v>40330</c:v>
                </c:pt>
                <c:pt idx="126">
                  <c:v>40360</c:v>
                </c:pt>
                <c:pt idx="127">
                  <c:v>40392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40546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40665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40819</c:v>
                </c:pt>
                <c:pt idx="142">
                  <c:v>40848</c:v>
                </c:pt>
                <c:pt idx="143">
                  <c:v>40878</c:v>
                </c:pt>
                <c:pt idx="144">
                  <c:v>40911</c:v>
                </c:pt>
                <c:pt idx="145">
                  <c:v>40940</c:v>
                </c:pt>
              </c:numCache>
            </c:numRef>
          </c:cat>
          <c:val>
            <c:numRef>
              <c:f>monthly!$J$2:$J$147</c:f>
              <c:numCache>
                <c:formatCode>General</c:formatCode>
                <c:ptCount val="146"/>
                <c:pt idx="0">
                  <c:v>#N/A</c:v>
                </c:pt>
                <c:pt idx="1">
                  <c:v>#N/A</c:v>
                </c:pt>
                <c:pt idx="2" formatCode="0.00%">
                  <c:v>3.7420768251708631E-3</c:v>
                </c:pt>
                <c:pt idx="3" formatCode="0.00%">
                  <c:v>2.2950153913947474E-2</c:v>
                </c:pt>
                <c:pt idx="4" formatCode="0.00%">
                  <c:v>2.3916605322498969E-2</c:v>
                </c:pt>
                <c:pt idx="5" formatCode="0.00%">
                  <c:v>2.3510965563229902E-2</c:v>
                </c:pt>
                <c:pt idx="6" formatCode="0.00%">
                  <c:v>2.3289000727728732E-2</c:v>
                </c:pt>
                <c:pt idx="7" formatCode="0.00%">
                  <c:v>2.2908659481670941E-2</c:v>
                </c:pt>
                <c:pt idx="8" formatCode="0.00%">
                  <c:v>2.7083239835768727E-2</c:v>
                </c:pt>
                <c:pt idx="9" formatCode="0.00%">
                  <c:v>2.9666112453861589E-2</c:v>
                </c:pt>
                <c:pt idx="10" formatCode="0.00%">
                  <c:v>2.8786105797177299E-2</c:v>
                </c:pt>
                <c:pt idx="11" formatCode="0.00%">
                  <c:v>3.3765859362367943E-2</c:v>
                </c:pt>
                <c:pt idx="12" formatCode="0.00%">
                  <c:v>3.2765471093205767E-2</c:v>
                </c:pt>
                <c:pt idx="13" formatCode="0.00%">
                  <c:v>3.3506888834347291E-2</c:v>
                </c:pt>
                <c:pt idx="14" formatCode="0.00%">
                  <c:v>4.0718315019143338E-2</c:v>
                </c:pt>
                <c:pt idx="15" formatCode="0.00%">
                  <c:v>4.1934141928275416E-2</c:v>
                </c:pt>
                <c:pt idx="16" formatCode="0.00%">
                  <c:v>4.5346971904295874E-2</c:v>
                </c:pt>
                <c:pt idx="17" formatCode="0.00%">
                  <c:v>4.3986738037384183E-2</c:v>
                </c:pt>
                <c:pt idx="18" formatCode="0.00%">
                  <c:v>4.3056838856207362E-2</c:v>
                </c:pt>
                <c:pt idx="19" formatCode="0.00%">
                  <c:v>4.1820250371607921E-2</c:v>
                </c:pt>
                <c:pt idx="20" formatCode="0.00%">
                  <c:v>4.3221204970176792E-2</c:v>
                </c:pt>
                <c:pt idx="21" formatCode="0.00%">
                  <c:v>4.6815873069291462E-2</c:v>
                </c:pt>
                <c:pt idx="22" formatCode="0.00%">
                  <c:v>4.5500722510497624E-2</c:v>
                </c:pt>
                <c:pt idx="23" formatCode="0.00%">
                  <c:v>4.7797300254804817E-2</c:v>
                </c:pt>
                <c:pt idx="24" formatCode="0.00%">
                  <c:v>4.634438961446815E-2</c:v>
                </c:pt>
                <c:pt idx="25" formatCode="0.00%">
                  <c:v>4.4997479960316139E-2</c:v>
                </c:pt>
                <c:pt idx="26" formatCode="0.00%">
                  <c:v>4.3850657003539295E-2</c:v>
                </c:pt>
                <c:pt idx="27" formatCode="0.00%">
                  <c:v>4.3261574083066454E-2</c:v>
                </c:pt>
                <c:pt idx="28" formatCode="0.00%">
                  <c:v>4.4440907405034966E-2</c:v>
                </c:pt>
                <c:pt idx="29" formatCode="0.00%">
                  <c:v>4.3111530707819548E-2</c:v>
                </c:pt>
                <c:pt idx="30" formatCode="0.00%">
                  <c:v>4.582650057855258E-2</c:v>
                </c:pt>
                <c:pt idx="31" formatCode="0.00%">
                  <c:v>4.8762028311820881E-2</c:v>
                </c:pt>
                <c:pt idx="32" formatCode="0.00%">
                  <c:v>4.7306005136622184E-2</c:v>
                </c:pt>
                <c:pt idx="33" formatCode="0.00%">
                  <c:v>5.3293778297917545E-2</c:v>
                </c:pt>
                <c:pt idx="34" formatCode="0.00%">
                  <c:v>5.5182509245298404E-2</c:v>
                </c:pt>
                <c:pt idx="35" formatCode="0.00%">
                  <c:v>5.5469851170925011E-2</c:v>
                </c:pt>
                <c:pt idx="36" formatCode="0.00%">
                  <c:v>5.5635865148641453E-2</c:v>
                </c:pt>
                <c:pt idx="37" formatCode="0.00%">
                  <c:v>5.4285852011710711E-2</c:v>
                </c:pt>
                <c:pt idx="38" formatCode="0.00%">
                  <c:v>5.2737670202389696E-2</c:v>
                </c:pt>
                <c:pt idx="39" formatCode="0.00%">
                  <c:v>5.1134001391320634E-2</c:v>
                </c:pt>
                <c:pt idx="40" formatCode="0.00%">
                  <c:v>5.3417485004858184E-2</c:v>
                </c:pt>
                <c:pt idx="41" formatCode="0.00%">
                  <c:v>5.3415000770094409E-2</c:v>
                </c:pt>
                <c:pt idx="42" formatCode="0.00%">
                  <c:v>5.1852310523184508E-2</c:v>
                </c:pt>
                <c:pt idx="43" formatCode="0.00%">
                  <c:v>5.0464530532353155E-2</c:v>
                </c:pt>
                <c:pt idx="44" formatCode="0.00%">
                  <c:v>4.9179378782576853E-2</c:v>
                </c:pt>
                <c:pt idx="45" formatCode="0.00%">
                  <c:v>4.7755395608561922E-2</c:v>
                </c:pt>
                <c:pt idx="46" formatCode="0.00%">
                  <c:v>4.8025092201916759E-2</c:v>
                </c:pt>
                <c:pt idx="47" formatCode="0.00%">
                  <c:v>4.6638099514352369E-2</c:v>
                </c:pt>
                <c:pt idx="48" formatCode="0.00%">
                  <c:v>4.6787814777785597E-2</c:v>
                </c:pt>
                <c:pt idx="49" formatCode="0.00%">
                  <c:v>4.5617225366223701E-2</c:v>
                </c:pt>
                <c:pt idx="50" formatCode="0.00%">
                  <c:v>4.4349165253400484E-2</c:v>
                </c:pt>
                <c:pt idx="51" formatCode="0.00%">
                  <c:v>4.3121290541602866E-2</c:v>
                </c:pt>
                <c:pt idx="52" formatCode="0.00%">
                  <c:v>4.2069352349868562E-2</c:v>
                </c:pt>
                <c:pt idx="53" formatCode="0.00%">
                  <c:v>4.0998838431122321E-2</c:v>
                </c:pt>
                <c:pt idx="54" formatCode="0.00%">
                  <c:v>4.0004648444428532E-2</c:v>
                </c:pt>
                <c:pt idx="55" formatCode="0.00%">
                  <c:v>3.9606657473592731E-2</c:v>
                </c:pt>
                <c:pt idx="56" formatCode="0.00%">
                  <c:v>3.8404596599418271E-2</c:v>
                </c:pt>
                <c:pt idx="57" formatCode="0.00%">
                  <c:v>3.7314721876231111E-2</c:v>
                </c:pt>
                <c:pt idx="58" formatCode="0.00%">
                  <c:v>3.6314443355652808E-2</c:v>
                </c:pt>
                <c:pt idx="59" formatCode="0.00%">
                  <c:v>3.6788131204825159E-2</c:v>
                </c:pt>
                <c:pt idx="60" formatCode="0.00%">
                  <c:v>3.6399565961787707E-2</c:v>
                </c:pt>
                <c:pt idx="61" formatCode="0.00%">
                  <c:v>3.5723879562237285E-2</c:v>
                </c:pt>
                <c:pt idx="62" formatCode="0.00%">
                  <c:v>3.5002952609058925E-2</c:v>
                </c:pt>
                <c:pt idx="63" formatCode="0.00%">
                  <c:v>3.4235231670393287E-2</c:v>
                </c:pt>
                <c:pt idx="64" formatCode="0.00%">
                  <c:v>3.3515708443034781E-2</c:v>
                </c:pt>
                <c:pt idx="65" formatCode="0.00%">
                  <c:v>3.3412850676750309E-2</c:v>
                </c:pt>
                <c:pt idx="66" formatCode="0.00%">
                  <c:v>3.2397123653433085E-2</c:v>
                </c:pt>
                <c:pt idx="67" formatCode="0.00%">
                  <c:v>3.2723549145603784E-2</c:v>
                </c:pt>
                <c:pt idx="68" formatCode="0.00%">
                  <c:v>3.1810487009721486E-2</c:v>
                </c:pt>
                <c:pt idx="69" formatCode="0.00%">
                  <c:v>3.090425398547542E-2</c:v>
                </c:pt>
                <c:pt idx="70" formatCode="0.00%">
                  <c:v>3.0531458400800363E-2</c:v>
                </c:pt>
                <c:pt idx="71" formatCode="0.00%">
                  <c:v>3.1419703343705668E-2</c:v>
                </c:pt>
                <c:pt idx="72" formatCode="0.00%">
                  <c:v>3.0466082530839111E-2</c:v>
                </c:pt>
                <c:pt idx="73" formatCode="0.00%">
                  <c:v>3.0102979692362128E-2</c:v>
                </c:pt>
                <c:pt idx="74" formatCode="0.00%">
                  <c:v>2.9219629105386634E-2</c:v>
                </c:pt>
                <c:pt idx="75" formatCode="0.00%">
                  <c:v>2.8612376351706808E-2</c:v>
                </c:pt>
                <c:pt idx="76" formatCode="0.00%">
                  <c:v>2.7910323629295922E-2</c:v>
                </c:pt>
                <c:pt idx="77" formatCode="0.00%">
                  <c:v>2.8078857581803115E-2</c:v>
                </c:pt>
                <c:pt idx="78" formatCode="0.00%">
                  <c:v>2.7231125142542122E-2</c:v>
                </c:pt>
                <c:pt idx="79" formatCode="0.00%">
                  <c:v>2.6424221698791269E-2</c:v>
                </c:pt>
                <c:pt idx="80" formatCode="0.00%">
                  <c:v>2.6160564900740854E-2</c:v>
                </c:pt>
                <c:pt idx="81" formatCode="0.00%">
                  <c:v>2.618622292283132E-2</c:v>
                </c:pt>
                <c:pt idx="82" formatCode="0.00%">
                  <c:v>2.6505130280143129E-2</c:v>
                </c:pt>
                <c:pt idx="83" formatCode="0.00%">
                  <c:v>2.6145302222489258E-2</c:v>
                </c:pt>
                <c:pt idx="84" formatCode="0.00%">
                  <c:v>2.5556989063604929E-2</c:v>
                </c:pt>
                <c:pt idx="85" formatCode="0.00%">
                  <c:v>2.5045324773040251E-2</c:v>
                </c:pt>
                <c:pt idx="86" formatCode="0.00%">
                  <c:v>2.4762971413511164E-2</c:v>
                </c:pt>
                <c:pt idx="87" formatCode="0.00%">
                  <c:v>2.4174761866838881E-2</c:v>
                </c:pt>
                <c:pt idx="88" formatCode="0.00%">
                  <c:v>2.5732251316240868E-2</c:v>
                </c:pt>
                <c:pt idx="89" formatCode="0.00%">
                  <c:v>2.6249764247172264E-2</c:v>
                </c:pt>
                <c:pt idx="90" formatCode="0.00%">
                  <c:v>2.5703487552484021E-2</c:v>
                </c:pt>
                <c:pt idx="91" formatCode="0.00%">
                  <c:v>2.6108798747465928E-2</c:v>
                </c:pt>
                <c:pt idx="92" formatCode="0.00%">
                  <c:v>2.5504423206709523E-2</c:v>
                </c:pt>
                <c:pt idx="93" formatCode="0.00%">
                  <c:v>2.6421499078705033E-2</c:v>
                </c:pt>
                <c:pt idx="94" formatCode="0.00%">
                  <c:v>2.5827157328674723E-2</c:v>
                </c:pt>
                <c:pt idx="95" formatCode="0.00%">
                  <c:v>2.6841679459524832E-2</c:v>
                </c:pt>
                <c:pt idx="96" formatCode="0.00%">
                  <c:v>2.6170833689958727E-2</c:v>
                </c:pt>
                <c:pt idx="97" formatCode="0.00%">
                  <c:v>2.9619315702406109E-2</c:v>
                </c:pt>
                <c:pt idx="98" formatCode="0.00%">
                  <c:v>2.9425266168626334E-2</c:v>
                </c:pt>
                <c:pt idx="99" formatCode="0.00%">
                  <c:v>2.8613327686975793E-2</c:v>
                </c:pt>
                <c:pt idx="100" formatCode="0.00%">
                  <c:v>2.9995269637115674E-2</c:v>
                </c:pt>
                <c:pt idx="101" formatCode="0.00%">
                  <c:v>2.9311945003824027E-2</c:v>
                </c:pt>
                <c:pt idx="102" formatCode="0.00%">
                  <c:v>3.5560279464452386E-2</c:v>
                </c:pt>
                <c:pt idx="103" formatCode="0.00%">
                  <c:v>3.4547897218669105E-2</c:v>
                </c:pt>
                <c:pt idx="104" formatCode="0.00%">
                  <c:v>3.3704882545836146E-2</c:v>
                </c:pt>
                <c:pt idx="105" formatCode="0.00%">
                  <c:v>4.0670953986454386E-2</c:v>
                </c:pt>
                <c:pt idx="106" formatCode="0.00%">
                  <c:v>5.9255732892113014E-2</c:v>
                </c:pt>
                <c:pt idx="107" formatCode="0.00%">
                  <c:v>6.0104823239800292E-2</c:v>
                </c:pt>
                <c:pt idx="108" formatCode="0.00%">
                  <c:v>5.8322065839267405E-2</c:v>
                </c:pt>
                <c:pt idx="109" formatCode="0.00%">
                  <c:v>6.0308746860167198E-2</c:v>
                </c:pt>
                <c:pt idx="110" formatCode="0.00%">
                  <c:v>6.476152435002655E-2</c:v>
                </c:pt>
                <c:pt idx="111" formatCode="0.00%">
                  <c:v>6.57705287963017E-2</c:v>
                </c:pt>
                <c:pt idx="112" formatCode="0.00%">
                  <c:v>6.7855673865705776E-2</c:v>
                </c:pt>
                <c:pt idx="113" formatCode="0.00%">
                  <c:v>6.7243115504673684E-2</c:v>
                </c:pt>
                <c:pt idx="114" formatCode="0.00%">
                  <c:v>6.5194768462766131E-2</c:v>
                </c:pt>
                <c:pt idx="115" formatCode="0.00%">
                  <c:v>6.5619681034990565E-2</c:v>
                </c:pt>
                <c:pt idx="116" formatCode="0.00%">
                  <c:v>6.4236277287138918E-2</c:v>
                </c:pt>
                <c:pt idx="117" formatCode="0.00%">
                  <c:v>6.2861865844217824E-2</c:v>
                </c:pt>
                <c:pt idx="118" formatCode="0.00%">
                  <c:v>6.1132529609534934E-2</c:v>
                </c:pt>
                <c:pt idx="119" formatCode="0.00%">
                  <c:v>6.1052080830366451E-2</c:v>
                </c:pt>
                <c:pt idx="120" formatCode="0.00%">
                  <c:v>5.937431868388187E-2</c:v>
                </c:pt>
                <c:pt idx="121" formatCode="0.00%">
                  <c:v>5.827666007975011E-2</c:v>
                </c:pt>
                <c:pt idx="122" formatCode="0.00%">
                  <c:v>5.6999782790164356E-2</c:v>
                </c:pt>
                <c:pt idx="123" formatCode="0.00%">
                  <c:v>5.6882239631519144E-2</c:v>
                </c:pt>
                <c:pt idx="124" formatCode="0.00%">
                  <c:v>5.5278041054828232E-2</c:v>
                </c:pt>
                <c:pt idx="125" formatCode="0.00%">
                  <c:v>5.7306081477506161E-2</c:v>
                </c:pt>
                <c:pt idx="126" formatCode="0.00%">
                  <c:v>5.7065030682558714E-2</c:v>
                </c:pt>
                <c:pt idx="127" formatCode="0.00%">
                  <c:v>5.7650034365594786E-2</c:v>
                </c:pt>
                <c:pt idx="128" formatCode="0.00%">
                  <c:v>5.7020729141393396E-2</c:v>
                </c:pt>
                <c:pt idx="129" formatCode="0.00%">
                  <c:v>5.9141070586654083E-2</c:v>
                </c:pt>
                <c:pt idx="130" formatCode="0.00%">
                  <c:v>5.8070762456905421E-2</c:v>
                </c:pt>
                <c:pt idx="131" formatCode="0.00%">
                  <c:v>5.630169309342975E-2</c:v>
                </c:pt>
                <c:pt idx="132" formatCode="0.00%">
                  <c:v>5.6842505958028977E-2</c:v>
                </c:pt>
                <c:pt idx="133" formatCode="0.00%">
                  <c:v>5.5398913495392443E-2</c:v>
                </c:pt>
                <c:pt idx="134" formatCode="0.00%">
                  <c:v>5.4356236546253447E-2</c:v>
                </c:pt>
                <c:pt idx="135" formatCode="0.00%">
                  <c:v>5.2700339992929848E-2</c:v>
                </c:pt>
                <c:pt idx="136" formatCode="0.00%">
                  <c:v>5.1571869587029147E-2</c:v>
                </c:pt>
                <c:pt idx="137" formatCode="0.00%">
                  <c:v>5.0077537333098734E-2</c:v>
                </c:pt>
                <c:pt idx="138" formatCode="0.00%">
                  <c:v>4.8730726620097788E-2</c:v>
                </c:pt>
                <c:pt idx="139" formatCode="0.00%">
                  <c:v>4.7504808482870121E-2</c:v>
                </c:pt>
                <c:pt idx="140" formatCode="0.00%">
                  <c:v>4.8095928985334657E-2</c:v>
                </c:pt>
                <c:pt idx="141" formatCode="0.00%">
                  <c:v>4.9844230981908474E-2</c:v>
                </c:pt>
                <c:pt idx="142" formatCode="0.00%">
                  <c:v>5.4580228292312592E-2</c:v>
                </c:pt>
                <c:pt idx="143" formatCode="0.00%">
                  <c:v>5.2927013846647983E-2</c:v>
                </c:pt>
                <c:pt idx="144" formatCode="0.00%">
                  <c:v>5.1377991277505072E-2</c:v>
                </c:pt>
                <c:pt idx="145" formatCode="0.00%">
                  <c:v>5.1035398492778605E-2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368832"/>
        <c:axId val="235350656"/>
      </c:lineChart>
      <c:dateAx>
        <c:axId val="23536780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low"/>
        <c:crossAx val="235349120"/>
        <c:crosses val="autoZero"/>
        <c:auto val="1"/>
        <c:lblOffset val="100"/>
        <c:baseTimeUnit val="days"/>
      </c:dateAx>
      <c:valAx>
        <c:axId val="235349120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235367808"/>
        <c:crosses val="autoZero"/>
        <c:crossBetween val="between"/>
      </c:valAx>
      <c:valAx>
        <c:axId val="235350656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crossAx val="235368832"/>
        <c:crosses val="max"/>
        <c:crossBetween val="between"/>
      </c:valAx>
      <c:dateAx>
        <c:axId val="2353688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35350656"/>
        <c:crosses val="autoZero"/>
        <c:auto val="1"/>
        <c:lblOffset val="100"/>
        <c:baseTimeUnit val="day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2176911544227887"/>
          <c:y val="2.7201808107319918E-2"/>
          <c:w val="0.4260172276066691"/>
          <c:h val="0.12152194517351998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ACF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monthly!$N$34</c:f>
              <c:strCache>
                <c:ptCount val="1"/>
                <c:pt idx="0">
                  <c:v>ACF</c:v>
                </c:pt>
              </c:strCache>
            </c:strRef>
          </c:tx>
          <c:invertIfNegative val="0"/>
          <c:val>
            <c:numRef>
              <c:f>monthly!$N$35:$N$52</c:f>
              <c:numCache>
                <c:formatCode>0.00%</c:formatCode>
                <c:ptCount val="18"/>
                <c:pt idx="0">
                  <c:v>0.14141029409271746</c:v>
                </c:pt>
                <c:pt idx="1">
                  <c:v>-4.6347237640054544E-2</c:v>
                </c:pt>
                <c:pt idx="2">
                  <c:v>0.14651814387162668</c:v>
                </c:pt>
                <c:pt idx="3">
                  <c:v>0.10039397054435709</c:v>
                </c:pt>
                <c:pt idx="4">
                  <c:v>1.1544320457959787E-2</c:v>
                </c:pt>
                <c:pt idx="5">
                  <c:v>-0.11501703187912526</c:v>
                </c:pt>
                <c:pt idx="6">
                  <c:v>3.0098428344521682E-2</c:v>
                </c:pt>
                <c:pt idx="7">
                  <c:v>1.0924562782685008E-2</c:v>
                </c:pt>
                <c:pt idx="8">
                  <c:v>-0.10050119740795981</c:v>
                </c:pt>
                <c:pt idx="9">
                  <c:v>-3.6603456435001895E-2</c:v>
                </c:pt>
                <c:pt idx="10">
                  <c:v>3.6056653909454894E-2</c:v>
                </c:pt>
                <c:pt idx="11">
                  <c:v>5.4242437277989448E-2</c:v>
                </c:pt>
                <c:pt idx="12">
                  <c:v>-5.8414452516415791E-2</c:v>
                </c:pt>
                <c:pt idx="13">
                  <c:v>-0.10863687837083945</c:v>
                </c:pt>
                <c:pt idx="14">
                  <c:v>6.8836087031865861E-2</c:v>
                </c:pt>
                <c:pt idx="15">
                  <c:v>7.7939944365011213E-2</c:v>
                </c:pt>
                <c:pt idx="16">
                  <c:v>-0.12385037418367476</c:v>
                </c:pt>
                <c:pt idx="17">
                  <c:v>-1.9626719077919994E-2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382656"/>
        <c:axId val="235384192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monthly!$O$35:$O$52</c:f>
              <c:numCache>
                <c:formatCode>0.00%</c:formatCode>
                <c:ptCount val="18"/>
                <c:pt idx="0">
                  <c:v>0.16276614959217695</c:v>
                </c:pt>
                <c:pt idx="1">
                  <c:v>0.16276614959217695</c:v>
                </c:pt>
                <c:pt idx="2">
                  <c:v>0.16598905522266508</c:v>
                </c:pt>
                <c:pt idx="3">
                  <c:v>0.16633154579418477</c:v>
                </c:pt>
                <c:pt idx="4">
                  <c:v>0.16971639830074042</c:v>
                </c:pt>
                <c:pt idx="5">
                  <c:v>0.17128250179596935</c:v>
                </c:pt>
                <c:pt idx="6">
                  <c:v>0.17130311406483653</c:v>
                </c:pt>
                <c:pt idx="7">
                  <c:v>0.17333695376509767</c:v>
                </c:pt>
                <c:pt idx="8">
                  <c:v>0.17347535861393865</c:v>
                </c:pt>
                <c:pt idx="9">
                  <c:v>0.17349358395661235</c:v>
                </c:pt>
                <c:pt idx="10">
                  <c:v>0.17502915364612334</c:v>
                </c:pt>
                <c:pt idx="11">
                  <c:v>0.17523183350954261</c:v>
                </c:pt>
                <c:pt idx="12">
                  <c:v>0.17542827926518287</c:v>
                </c:pt>
                <c:pt idx="13">
                  <c:v>0.17587204933765854</c:v>
                </c:pt>
                <c:pt idx="14">
                  <c:v>0.17638531087519216</c:v>
                </c:pt>
                <c:pt idx="15">
                  <c:v>0.17814913102357349</c:v>
                </c:pt>
                <c:pt idx="16">
                  <c:v>0.17885239836321701</c:v>
                </c:pt>
                <c:pt idx="17">
                  <c:v>0.17974996192777437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monthly!$P$35:$P$52</c:f>
              <c:numCache>
                <c:formatCode>0.00%</c:formatCode>
                <c:ptCount val="18"/>
                <c:pt idx="0">
                  <c:v>-0.16276614959217695</c:v>
                </c:pt>
                <c:pt idx="1">
                  <c:v>-0.16276614959217695</c:v>
                </c:pt>
                <c:pt idx="2">
                  <c:v>-0.16598905522266508</c:v>
                </c:pt>
                <c:pt idx="3">
                  <c:v>-0.16633154579418477</c:v>
                </c:pt>
                <c:pt idx="4">
                  <c:v>-0.16971639830074042</c:v>
                </c:pt>
                <c:pt idx="5">
                  <c:v>-0.17128250179596935</c:v>
                </c:pt>
                <c:pt idx="6">
                  <c:v>-0.17130311406483653</c:v>
                </c:pt>
                <c:pt idx="7">
                  <c:v>-0.17333695376509767</c:v>
                </c:pt>
                <c:pt idx="8">
                  <c:v>-0.17347535861393865</c:v>
                </c:pt>
                <c:pt idx="9">
                  <c:v>-0.17349358395661235</c:v>
                </c:pt>
                <c:pt idx="10">
                  <c:v>-0.17502915364612334</c:v>
                </c:pt>
                <c:pt idx="11">
                  <c:v>-0.17523183350954261</c:v>
                </c:pt>
                <c:pt idx="12">
                  <c:v>-0.17542827926518287</c:v>
                </c:pt>
                <c:pt idx="13">
                  <c:v>-0.17587204933765854</c:v>
                </c:pt>
                <c:pt idx="14">
                  <c:v>-0.17638531087519216</c:v>
                </c:pt>
                <c:pt idx="15">
                  <c:v>-0.17814913102357349</c:v>
                </c:pt>
                <c:pt idx="16">
                  <c:v>-0.17885239836321701</c:v>
                </c:pt>
                <c:pt idx="17">
                  <c:v>-0.17974996192777437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382656"/>
        <c:axId val="235384192"/>
      </c:lineChart>
      <c:catAx>
        <c:axId val="235382656"/>
        <c:scaling>
          <c:orientation val="minMax"/>
        </c:scaling>
        <c:delete val="0"/>
        <c:axPos val="b"/>
        <c:majorTickMark val="out"/>
        <c:minorTickMark val="none"/>
        <c:tickLblPos val="nextTo"/>
        <c:crossAx val="235384192"/>
        <c:crosses val="autoZero"/>
        <c:auto val="1"/>
        <c:lblAlgn val="ctr"/>
        <c:lblOffset val="100"/>
        <c:noMultiLvlLbl val="0"/>
      </c:catAx>
      <c:valAx>
        <c:axId val="23538419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35382656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PACF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monthly!$Q$34</c:f>
              <c:strCache>
                <c:ptCount val="1"/>
                <c:pt idx="0">
                  <c:v>PACF</c:v>
                </c:pt>
              </c:strCache>
            </c:strRef>
          </c:tx>
          <c:invertIfNegative val="0"/>
          <c:val>
            <c:numRef>
              <c:f>monthly!$Q$35:$Q$52</c:f>
              <c:numCache>
                <c:formatCode>0.00%</c:formatCode>
                <c:ptCount val="18"/>
                <c:pt idx="0">
                  <c:v>0.14163998694536914</c:v>
                </c:pt>
                <c:pt idx="1">
                  <c:v>-6.8552453367663413E-2</c:v>
                </c:pt>
                <c:pt idx="2">
                  <c:v>0.16999964060027303</c:v>
                </c:pt>
                <c:pt idx="3">
                  <c:v>4.8311867130441902E-2</c:v>
                </c:pt>
                <c:pt idx="4">
                  <c:v>9.6005722924557488E-3</c:v>
                </c:pt>
                <c:pt idx="5">
                  <c:v>-0.14529485685305649</c:v>
                </c:pt>
                <c:pt idx="6">
                  <c:v>5.51638274758161E-2</c:v>
                </c:pt>
                <c:pt idx="7">
                  <c:v>-3.1742968790229489E-2</c:v>
                </c:pt>
                <c:pt idx="8">
                  <c:v>-6.7552599917995254E-2</c:v>
                </c:pt>
                <c:pt idx="9">
                  <c:v>1.4242114071354639E-3</c:v>
                </c:pt>
                <c:pt idx="10">
                  <c:v>3.0283975049225146E-2</c:v>
                </c:pt>
                <c:pt idx="11">
                  <c:v>6.1540276032486553E-2</c:v>
                </c:pt>
                <c:pt idx="12">
                  <c:v>-5.3331762530195032E-2</c:v>
                </c:pt>
                <c:pt idx="13">
                  <c:v>-0.10175331193529116</c:v>
                </c:pt>
                <c:pt idx="14">
                  <c:v>7.1815680421491626E-2</c:v>
                </c:pt>
                <c:pt idx="15">
                  <c:v>6.1714529843596842E-2</c:v>
                </c:pt>
                <c:pt idx="16">
                  <c:v>-0.11714556478807447</c:v>
                </c:pt>
                <c:pt idx="17">
                  <c:v>3.6345347201872415E-2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412480"/>
        <c:axId val="235422464"/>
      </c:barChart>
      <c:lineChart>
        <c:grouping val="standard"/>
        <c:varyColors val="0"/>
        <c:ser>
          <c:idx val="1"/>
          <c:order val="1"/>
          <c:tx>
            <c:v>UL</c:v>
          </c:tx>
          <c:marker>
            <c:symbol val="none"/>
          </c:marker>
          <c:val>
            <c:numRef>
              <c:f>monthly!$R$35:$R$52</c:f>
              <c:numCache>
                <c:formatCode>0.00%</c:formatCode>
                <c:ptCount val="18"/>
                <c:pt idx="0">
                  <c:v>0.16276614959217695</c:v>
                </c:pt>
                <c:pt idx="1">
                  <c:v>0.16276614959217695</c:v>
                </c:pt>
                <c:pt idx="2">
                  <c:v>0.16276614959217695</c:v>
                </c:pt>
                <c:pt idx="3">
                  <c:v>0.16276614959217695</c:v>
                </c:pt>
                <c:pt idx="4">
                  <c:v>0.16276614959217695</c:v>
                </c:pt>
                <c:pt idx="5">
                  <c:v>0.16276614959217695</c:v>
                </c:pt>
                <c:pt idx="6">
                  <c:v>0.16276614959217695</c:v>
                </c:pt>
                <c:pt idx="7">
                  <c:v>0.16276614959217695</c:v>
                </c:pt>
                <c:pt idx="8">
                  <c:v>0.16276614959217695</c:v>
                </c:pt>
                <c:pt idx="9">
                  <c:v>0.16276614959217695</c:v>
                </c:pt>
                <c:pt idx="10">
                  <c:v>0.16276614959217695</c:v>
                </c:pt>
                <c:pt idx="11">
                  <c:v>0.16276614959217695</c:v>
                </c:pt>
                <c:pt idx="12">
                  <c:v>0.16276614959217695</c:v>
                </c:pt>
                <c:pt idx="13">
                  <c:v>0.16276614959217695</c:v>
                </c:pt>
                <c:pt idx="14">
                  <c:v>0.16276614959217695</c:v>
                </c:pt>
                <c:pt idx="15">
                  <c:v>0.16276614959217695</c:v>
                </c:pt>
                <c:pt idx="16">
                  <c:v>0.16276614959217695</c:v>
                </c:pt>
                <c:pt idx="17">
                  <c:v>0.16276614959217695</c:v>
                </c:pt>
              </c:numCache>
            </c:numRef>
          </c:val>
          <c:smooth val="0"/>
        </c:ser>
        <c:ser>
          <c:idx val="2"/>
          <c:order val="2"/>
          <c:tx>
            <c:v>LL</c:v>
          </c:tx>
          <c:marker>
            <c:symbol val="none"/>
          </c:marker>
          <c:val>
            <c:numRef>
              <c:f>monthly!$S$35:$S$52</c:f>
              <c:numCache>
                <c:formatCode>0.00%</c:formatCode>
                <c:ptCount val="18"/>
                <c:pt idx="0">
                  <c:v>-0.16276614959217695</c:v>
                </c:pt>
                <c:pt idx="1">
                  <c:v>-0.16276614959217695</c:v>
                </c:pt>
                <c:pt idx="2">
                  <c:v>-0.16276614959217695</c:v>
                </c:pt>
                <c:pt idx="3">
                  <c:v>-0.16276614959217695</c:v>
                </c:pt>
                <c:pt idx="4">
                  <c:v>-0.16276614959217695</c:v>
                </c:pt>
                <c:pt idx="5">
                  <c:v>-0.16276614959217695</c:v>
                </c:pt>
                <c:pt idx="6">
                  <c:v>-0.16276614959217695</c:v>
                </c:pt>
                <c:pt idx="7">
                  <c:v>-0.16276614959217695</c:v>
                </c:pt>
                <c:pt idx="8">
                  <c:v>-0.16276614959217695</c:v>
                </c:pt>
                <c:pt idx="9">
                  <c:v>-0.16276614959217695</c:v>
                </c:pt>
                <c:pt idx="10">
                  <c:v>-0.16276614959217695</c:v>
                </c:pt>
                <c:pt idx="11">
                  <c:v>-0.16276614959217695</c:v>
                </c:pt>
                <c:pt idx="12">
                  <c:v>-0.16276614959217695</c:v>
                </c:pt>
                <c:pt idx="13">
                  <c:v>-0.16276614959217695</c:v>
                </c:pt>
                <c:pt idx="14">
                  <c:v>-0.16276614959217695</c:v>
                </c:pt>
                <c:pt idx="15">
                  <c:v>-0.16276614959217695</c:v>
                </c:pt>
                <c:pt idx="16">
                  <c:v>-0.16276614959217695</c:v>
                </c:pt>
                <c:pt idx="17">
                  <c:v>-0.16276614959217695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412480"/>
        <c:axId val="235422464"/>
      </c:lineChart>
      <c:catAx>
        <c:axId val="235412480"/>
        <c:scaling>
          <c:orientation val="minMax"/>
        </c:scaling>
        <c:delete val="0"/>
        <c:axPos val="b"/>
        <c:majorTickMark val="out"/>
        <c:minorTickMark val="none"/>
        <c:tickLblPos val="nextTo"/>
        <c:crossAx val="235422464"/>
        <c:crosses val="autoZero"/>
        <c:auto val="1"/>
        <c:lblAlgn val="ctr"/>
        <c:lblOffset val="100"/>
        <c:noMultiLvlLbl val="0"/>
      </c:catAx>
      <c:valAx>
        <c:axId val="235422464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235412480"/>
        <c:crosses val="autoZero"/>
        <c:crossBetween val="between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SPDR</a:t>
            </a:r>
          </a:p>
        </c:rich>
      </c:tx>
      <c:layout/>
      <c:overlay val="1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monthly!$A$2:$A$147</c:f>
              <c:numCache>
                <c:formatCode>m/d/yyyy</c:formatCode>
                <c:ptCount val="146"/>
                <c:pt idx="0">
                  <c:v>36528</c:v>
                </c:pt>
                <c:pt idx="1">
                  <c:v>36557</c:v>
                </c:pt>
                <c:pt idx="2">
                  <c:v>36586</c:v>
                </c:pt>
                <c:pt idx="3">
                  <c:v>36619</c:v>
                </c:pt>
                <c:pt idx="4">
                  <c:v>36647</c:v>
                </c:pt>
                <c:pt idx="5">
                  <c:v>36678</c:v>
                </c:pt>
                <c:pt idx="6">
                  <c:v>36710</c:v>
                </c:pt>
                <c:pt idx="7">
                  <c:v>36739</c:v>
                </c:pt>
                <c:pt idx="8">
                  <c:v>36770</c:v>
                </c:pt>
                <c:pt idx="9">
                  <c:v>36801</c:v>
                </c:pt>
                <c:pt idx="10">
                  <c:v>36831</c:v>
                </c:pt>
                <c:pt idx="11">
                  <c:v>36861</c:v>
                </c:pt>
                <c:pt idx="12">
                  <c:v>36893</c:v>
                </c:pt>
                <c:pt idx="13">
                  <c:v>36923</c:v>
                </c:pt>
                <c:pt idx="14">
                  <c:v>36951</c:v>
                </c:pt>
                <c:pt idx="15">
                  <c:v>36983</c:v>
                </c:pt>
                <c:pt idx="16">
                  <c:v>37012</c:v>
                </c:pt>
                <c:pt idx="17">
                  <c:v>37043</c:v>
                </c:pt>
                <c:pt idx="18">
                  <c:v>37074</c:v>
                </c:pt>
                <c:pt idx="19">
                  <c:v>37104</c:v>
                </c:pt>
                <c:pt idx="20">
                  <c:v>37138</c:v>
                </c:pt>
                <c:pt idx="21">
                  <c:v>37165</c:v>
                </c:pt>
                <c:pt idx="22">
                  <c:v>37196</c:v>
                </c:pt>
                <c:pt idx="23">
                  <c:v>37228</c:v>
                </c:pt>
                <c:pt idx="24">
                  <c:v>37258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37410</c:v>
                </c:pt>
                <c:pt idx="30">
                  <c:v>37438</c:v>
                </c:pt>
                <c:pt idx="31">
                  <c:v>37469</c:v>
                </c:pt>
                <c:pt idx="32">
                  <c:v>37502</c:v>
                </c:pt>
                <c:pt idx="33">
                  <c:v>37530</c:v>
                </c:pt>
                <c:pt idx="34">
                  <c:v>37561</c:v>
                </c:pt>
                <c:pt idx="35">
                  <c:v>37592</c:v>
                </c:pt>
                <c:pt idx="36">
                  <c:v>37623</c:v>
                </c:pt>
                <c:pt idx="37">
                  <c:v>37655</c:v>
                </c:pt>
                <c:pt idx="38">
                  <c:v>37683</c:v>
                </c:pt>
                <c:pt idx="39">
                  <c:v>37712</c:v>
                </c:pt>
                <c:pt idx="40">
                  <c:v>37742</c:v>
                </c:pt>
                <c:pt idx="41">
                  <c:v>37774</c:v>
                </c:pt>
                <c:pt idx="42">
                  <c:v>37803</c:v>
                </c:pt>
                <c:pt idx="43">
                  <c:v>37834</c:v>
                </c:pt>
                <c:pt idx="44">
                  <c:v>37866</c:v>
                </c:pt>
                <c:pt idx="45">
                  <c:v>37895</c:v>
                </c:pt>
                <c:pt idx="46">
                  <c:v>37928</c:v>
                </c:pt>
                <c:pt idx="47">
                  <c:v>37956</c:v>
                </c:pt>
                <c:pt idx="48">
                  <c:v>37988</c:v>
                </c:pt>
                <c:pt idx="49">
                  <c:v>38019</c:v>
                </c:pt>
                <c:pt idx="50">
                  <c:v>38047</c:v>
                </c:pt>
                <c:pt idx="51">
                  <c:v>38078</c:v>
                </c:pt>
                <c:pt idx="52">
                  <c:v>38110</c:v>
                </c:pt>
                <c:pt idx="53">
                  <c:v>38139</c:v>
                </c:pt>
                <c:pt idx="54">
                  <c:v>38169</c:v>
                </c:pt>
                <c:pt idx="55">
                  <c:v>38201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38355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38474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38628</c:v>
                </c:pt>
                <c:pt idx="70">
                  <c:v>38657</c:v>
                </c:pt>
                <c:pt idx="71">
                  <c:v>38687</c:v>
                </c:pt>
                <c:pt idx="72">
                  <c:v>38720</c:v>
                </c:pt>
                <c:pt idx="73">
                  <c:v>38749</c:v>
                </c:pt>
                <c:pt idx="74">
                  <c:v>38777</c:v>
                </c:pt>
                <c:pt idx="75">
                  <c:v>38810</c:v>
                </c:pt>
                <c:pt idx="76">
                  <c:v>38838</c:v>
                </c:pt>
                <c:pt idx="77">
                  <c:v>38869</c:v>
                </c:pt>
                <c:pt idx="78">
                  <c:v>38901</c:v>
                </c:pt>
                <c:pt idx="79">
                  <c:v>38930</c:v>
                </c:pt>
                <c:pt idx="80">
                  <c:v>38961</c:v>
                </c:pt>
                <c:pt idx="81">
                  <c:v>38992</c:v>
                </c:pt>
                <c:pt idx="82">
                  <c:v>39022</c:v>
                </c:pt>
                <c:pt idx="83">
                  <c:v>39052</c:v>
                </c:pt>
                <c:pt idx="84">
                  <c:v>39085</c:v>
                </c:pt>
                <c:pt idx="85">
                  <c:v>39114</c:v>
                </c:pt>
                <c:pt idx="86">
                  <c:v>39142</c:v>
                </c:pt>
                <c:pt idx="87">
                  <c:v>39174</c:v>
                </c:pt>
                <c:pt idx="88">
                  <c:v>39203</c:v>
                </c:pt>
                <c:pt idx="89">
                  <c:v>39234</c:v>
                </c:pt>
                <c:pt idx="90">
                  <c:v>39265</c:v>
                </c:pt>
                <c:pt idx="91">
                  <c:v>39295</c:v>
                </c:pt>
                <c:pt idx="92">
                  <c:v>39329</c:v>
                </c:pt>
                <c:pt idx="93">
                  <c:v>39356</c:v>
                </c:pt>
                <c:pt idx="94">
                  <c:v>39387</c:v>
                </c:pt>
                <c:pt idx="95">
                  <c:v>39419</c:v>
                </c:pt>
                <c:pt idx="96">
                  <c:v>39449</c:v>
                </c:pt>
                <c:pt idx="97">
                  <c:v>39479</c:v>
                </c:pt>
                <c:pt idx="98">
                  <c:v>39510</c:v>
                </c:pt>
                <c:pt idx="99">
                  <c:v>39539</c:v>
                </c:pt>
                <c:pt idx="100">
                  <c:v>39569</c:v>
                </c:pt>
                <c:pt idx="101">
                  <c:v>39601</c:v>
                </c:pt>
                <c:pt idx="102">
                  <c:v>39630</c:v>
                </c:pt>
                <c:pt idx="103">
                  <c:v>39661</c:v>
                </c:pt>
                <c:pt idx="104">
                  <c:v>39693</c:v>
                </c:pt>
                <c:pt idx="105">
                  <c:v>39722</c:v>
                </c:pt>
                <c:pt idx="106">
                  <c:v>39755</c:v>
                </c:pt>
                <c:pt idx="107">
                  <c:v>39783</c:v>
                </c:pt>
                <c:pt idx="108">
                  <c:v>39815</c:v>
                </c:pt>
                <c:pt idx="109">
                  <c:v>39846</c:v>
                </c:pt>
                <c:pt idx="110">
                  <c:v>39874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40028</c:v>
                </c:pt>
                <c:pt idx="116">
                  <c:v>40057</c:v>
                </c:pt>
                <c:pt idx="117">
                  <c:v>40087</c:v>
                </c:pt>
                <c:pt idx="118">
                  <c:v>40119</c:v>
                </c:pt>
                <c:pt idx="119">
                  <c:v>40148</c:v>
                </c:pt>
                <c:pt idx="120">
                  <c:v>40182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40301</c:v>
                </c:pt>
                <c:pt idx="125">
                  <c:v>40330</c:v>
                </c:pt>
                <c:pt idx="126">
                  <c:v>40360</c:v>
                </c:pt>
                <c:pt idx="127">
                  <c:v>40392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40546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40665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40819</c:v>
                </c:pt>
                <c:pt idx="142">
                  <c:v>40848</c:v>
                </c:pt>
                <c:pt idx="143">
                  <c:v>40878</c:v>
                </c:pt>
                <c:pt idx="144">
                  <c:v>40911</c:v>
                </c:pt>
                <c:pt idx="145">
                  <c:v>40940</c:v>
                </c:pt>
              </c:numCache>
            </c:numRef>
          </c:cat>
          <c:val>
            <c:numRef>
              <c:f>monthly!$G$2:$G$147</c:f>
              <c:numCache>
                <c:formatCode>General</c:formatCode>
                <c:ptCount val="146"/>
                <c:pt idx="0">
                  <c:v>113.45</c:v>
                </c:pt>
                <c:pt idx="1">
                  <c:v>111.73</c:v>
                </c:pt>
                <c:pt idx="2">
                  <c:v>122.56</c:v>
                </c:pt>
                <c:pt idx="3">
                  <c:v>118.25</c:v>
                </c:pt>
                <c:pt idx="4">
                  <c:v>116.39</c:v>
                </c:pt>
                <c:pt idx="5">
                  <c:v>118.68</c:v>
                </c:pt>
                <c:pt idx="6">
                  <c:v>116.82</c:v>
                </c:pt>
                <c:pt idx="7">
                  <c:v>124.45</c:v>
                </c:pt>
                <c:pt idx="8">
                  <c:v>117.63</c:v>
                </c:pt>
                <c:pt idx="9">
                  <c:v>117.07</c:v>
                </c:pt>
                <c:pt idx="10">
                  <c:v>108.33</c:v>
                </c:pt>
                <c:pt idx="11">
                  <c:v>107.73</c:v>
                </c:pt>
                <c:pt idx="12">
                  <c:v>112.52</c:v>
                </c:pt>
                <c:pt idx="13">
                  <c:v>101.79</c:v>
                </c:pt>
                <c:pt idx="14">
                  <c:v>96.08</c:v>
                </c:pt>
                <c:pt idx="15">
                  <c:v>104.29</c:v>
                </c:pt>
                <c:pt idx="16">
                  <c:v>103.71</c:v>
                </c:pt>
                <c:pt idx="17">
                  <c:v>101.23</c:v>
                </c:pt>
                <c:pt idx="18">
                  <c:v>100.2</c:v>
                </c:pt>
                <c:pt idx="19">
                  <c:v>94.26</c:v>
                </c:pt>
                <c:pt idx="20">
                  <c:v>86.56</c:v>
                </c:pt>
                <c:pt idx="21">
                  <c:v>87.69</c:v>
                </c:pt>
                <c:pt idx="22">
                  <c:v>94.53</c:v>
                </c:pt>
                <c:pt idx="23">
                  <c:v>94.74</c:v>
                </c:pt>
                <c:pt idx="24">
                  <c:v>93.81</c:v>
                </c:pt>
                <c:pt idx="25">
                  <c:v>92.13</c:v>
                </c:pt>
                <c:pt idx="26">
                  <c:v>95.19</c:v>
                </c:pt>
                <c:pt idx="27">
                  <c:v>89.65</c:v>
                </c:pt>
                <c:pt idx="28">
                  <c:v>89.12</c:v>
                </c:pt>
                <c:pt idx="29">
                  <c:v>82.54</c:v>
                </c:pt>
                <c:pt idx="30">
                  <c:v>76.040000000000006</c:v>
                </c:pt>
                <c:pt idx="31">
                  <c:v>76.56</c:v>
                </c:pt>
                <c:pt idx="32">
                  <c:v>68.53</c:v>
                </c:pt>
                <c:pt idx="33">
                  <c:v>74.17</c:v>
                </c:pt>
                <c:pt idx="34">
                  <c:v>78.739999999999995</c:v>
                </c:pt>
                <c:pt idx="35">
                  <c:v>74.290000000000006</c:v>
                </c:pt>
                <c:pt idx="36">
                  <c:v>72.459999999999994</c:v>
                </c:pt>
                <c:pt idx="37">
                  <c:v>71.48</c:v>
                </c:pt>
                <c:pt idx="38">
                  <c:v>71.64</c:v>
                </c:pt>
                <c:pt idx="39">
                  <c:v>77.7</c:v>
                </c:pt>
                <c:pt idx="40">
                  <c:v>81.96</c:v>
                </c:pt>
                <c:pt idx="41">
                  <c:v>82.83</c:v>
                </c:pt>
                <c:pt idx="42">
                  <c:v>84.33</c:v>
                </c:pt>
                <c:pt idx="43">
                  <c:v>86.06</c:v>
                </c:pt>
                <c:pt idx="44">
                  <c:v>85.13</c:v>
                </c:pt>
                <c:pt idx="45">
                  <c:v>89.68</c:v>
                </c:pt>
                <c:pt idx="46">
                  <c:v>90.66</c:v>
                </c:pt>
                <c:pt idx="47">
                  <c:v>95.22</c:v>
                </c:pt>
                <c:pt idx="48">
                  <c:v>97.11</c:v>
                </c:pt>
                <c:pt idx="49">
                  <c:v>98.42</c:v>
                </c:pt>
                <c:pt idx="50">
                  <c:v>97.12</c:v>
                </c:pt>
                <c:pt idx="51">
                  <c:v>95.28</c:v>
                </c:pt>
                <c:pt idx="52">
                  <c:v>96.91</c:v>
                </c:pt>
                <c:pt idx="53">
                  <c:v>98.71</c:v>
                </c:pt>
                <c:pt idx="54">
                  <c:v>95.53</c:v>
                </c:pt>
                <c:pt idx="55">
                  <c:v>95.76</c:v>
                </c:pt>
                <c:pt idx="56">
                  <c:v>96.72</c:v>
                </c:pt>
                <c:pt idx="57">
                  <c:v>97.97</c:v>
                </c:pt>
                <c:pt idx="58">
                  <c:v>102.33</c:v>
                </c:pt>
                <c:pt idx="59">
                  <c:v>105.41</c:v>
                </c:pt>
                <c:pt idx="60">
                  <c:v>103.05</c:v>
                </c:pt>
                <c:pt idx="61">
                  <c:v>105.2</c:v>
                </c:pt>
                <c:pt idx="62">
                  <c:v>103.28</c:v>
                </c:pt>
                <c:pt idx="63">
                  <c:v>101.34</c:v>
                </c:pt>
                <c:pt idx="64">
                  <c:v>104.61</c:v>
                </c:pt>
                <c:pt idx="65">
                  <c:v>104.77</c:v>
                </c:pt>
                <c:pt idx="66">
                  <c:v>108.77</c:v>
                </c:pt>
                <c:pt idx="67">
                  <c:v>107.75</c:v>
                </c:pt>
                <c:pt idx="68">
                  <c:v>108.62</c:v>
                </c:pt>
                <c:pt idx="69">
                  <c:v>106.05</c:v>
                </c:pt>
                <c:pt idx="70">
                  <c:v>110.71</c:v>
                </c:pt>
                <c:pt idx="71">
                  <c:v>110.5</c:v>
                </c:pt>
                <c:pt idx="72">
                  <c:v>113.15</c:v>
                </c:pt>
                <c:pt idx="73">
                  <c:v>113.8</c:v>
                </c:pt>
                <c:pt idx="74">
                  <c:v>115.68</c:v>
                </c:pt>
                <c:pt idx="75">
                  <c:v>117.14</c:v>
                </c:pt>
                <c:pt idx="76">
                  <c:v>113.61</c:v>
                </c:pt>
                <c:pt idx="77">
                  <c:v>113.91</c:v>
                </c:pt>
                <c:pt idx="78">
                  <c:v>114.42</c:v>
                </c:pt>
                <c:pt idx="79">
                  <c:v>116.92</c:v>
                </c:pt>
                <c:pt idx="80">
                  <c:v>120.07</c:v>
                </c:pt>
                <c:pt idx="81">
                  <c:v>123.86</c:v>
                </c:pt>
                <c:pt idx="82">
                  <c:v>126.32</c:v>
                </c:pt>
                <c:pt idx="83">
                  <c:v>128.01</c:v>
                </c:pt>
                <c:pt idx="84">
                  <c:v>129.93</c:v>
                </c:pt>
                <c:pt idx="85">
                  <c:v>127.38</c:v>
                </c:pt>
                <c:pt idx="86">
                  <c:v>128.86000000000001</c:v>
                </c:pt>
                <c:pt idx="87">
                  <c:v>134.57</c:v>
                </c:pt>
                <c:pt idx="88">
                  <c:v>139.13</c:v>
                </c:pt>
                <c:pt idx="89">
                  <c:v>137.1</c:v>
                </c:pt>
                <c:pt idx="90">
                  <c:v>132.81</c:v>
                </c:pt>
                <c:pt idx="91">
                  <c:v>134.51</c:v>
                </c:pt>
                <c:pt idx="92">
                  <c:v>139.72</c:v>
                </c:pt>
                <c:pt idx="93">
                  <c:v>141.61000000000001</c:v>
                </c:pt>
                <c:pt idx="94">
                  <c:v>136.13</c:v>
                </c:pt>
                <c:pt idx="95">
                  <c:v>134.6</c:v>
                </c:pt>
                <c:pt idx="96">
                  <c:v>126.46</c:v>
                </c:pt>
                <c:pt idx="97">
                  <c:v>123.19</c:v>
                </c:pt>
                <c:pt idx="98">
                  <c:v>122.09</c:v>
                </c:pt>
                <c:pt idx="99">
                  <c:v>127.91</c:v>
                </c:pt>
                <c:pt idx="100">
                  <c:v>129.84</c:v>
                </c:pt>
                <c:pt idx="101">
                  <c:v>118.99</c:v>
                </c:pt>
                <c:pt idx="102">
                  <c:v>117.92</c:v>
                </c:pt>
                <c:pt idx="103">
                  <c:v>119.74</c:v>
                </c:pt>
                <c:pt idx="104">
                  <c:v>108.47</c:v>
                </c:pt>
                <c:pt idx="105">
                  <c:v>90.55</c:v>
                </c:pt>
                <c:pt idx="106">
                  <c:v>84.25</c:v>
                </c:pt>
                <c:pt idx="107">
                  <c:v>85.07</c:v>
                </c:pt>
                <c:pt idx="108">
                  <c:v>78.09</c:v>
                </c:pt>
                <c:pt idx="109">
                  <c:v>69.7</c:v>
                </c:pt>
                <c:pt idx="110">
                  <c:v>75.5</c:v>
                </c:pt>
                <c:pt idx="111">
                  <c:v>83</c:v>
                </c:pt>
                <c:pt idx="112">
                  <c:v>87.85</c:v>
                </c:pt>
                <c:pt idx="113">
                  <c:v>87.8</c:v>
                </c:pt>
                <c:pt idx="114">
                  <c:v>94.35</c:v>
                </c:pt>
                <c:pt idx="115">
                  <c:v>97.83</c:v>
                </c:pt>
                <c:pt idx="116">
                  <c:v>101.3</c:v>
                </c:pt>
                <c:pt idx="117">
                  <c:v>99.35</c:v>
                </c:pt>
                <c:pt idx="118">
                  <c:v>105.47</c:v>
                </c:pt>
                <c:pt idx="119">
                  <c:v>107.49</c:v>
                </c:pt>
                <c:pt idx="120">
                  <c:v>103.58</c:v>
                </c:pt>
                <c:pt idx="121">
                  <c:v>106.81</c:v>
                </c:pt>
                <c:pt idx="122">
                  <c:v>112.85</c:v>
                </c:pt>
                <c:pt idx="123">
                  <c:v>114.6</c:v>
                </c:pt>
                <c:pt idx="124">
                  <c:v>105.49</c:v>
                </c:pt>
                <c:pt idx="125">
                  <c:v>100.03</c:v>
                </c:pt>
                <c:pt idx="126">
                  <c:v>106.87</c:v>
                </c:pt>
                <c:pt idx="127">
                  <c:v>102.06</c:v>
                </c:pt>
                <c:pt idx="128">
                  <c:v>111.2</c:v>
                </c:pt>
                <c:pt idx="129">
                  <c:v>115.45</c:v>
                </c:pt>
                <c:pt idx="130">
                  <c:v>115.45</c:v>
                </c:pt>
                <c:pt idx="131">
                  <c:v>123.17</c:v>
                </c:pt>
                <c:pt idx="132">
                  <c:v>126.04</c:v>
                </c:pt>
                <c:pt idx="133">
                  <c:v>130.41</c:v>
                </c:pt>
                <c:pt idx="134">
                  <c:v>130.43</c:v>
                </c:pt>
                <c:pt idx="135">
                  <c:v>134.21</c:v>
                </c:pt>
                <c:pt idx="136">
                  <c:v>132.69999999999999</c:v>
                </c:pt>
                <c:pt idx="137">
                  <c:v>130.46</c:v>
                </c:pt>
                <c:pt idx="138">
                  <c:v>127.85</c:v>
                </c:pt>
                <c:pt idx="139">
                  <c:v>120.82</c:v>
                </c:pt>
                <c:pt idx="140">
                  <c:v>112.44</c:v>
                </c:pt>
                <c:pt idx="141">
                  <c:v>124.71</c:v>
                </c:pt>
                <c:pt idx="142">
                  <c:v>124.2</c:v>
                </c:pt>
                <c:pt idx="143">
                  <c:v>125.5</c:v>
                </c:pt>
                <c:pt idx="144">
                  <c:v>131.32</c:v>
                </c:pt>
                <c:pt idx="145">
                  <c:v>134.44999999999999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438848"/>
        <c:axId val="235440384"/>
      </c:lineChart>
      <c:dateAx>
        <c:axId val="235438848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crossAx val="235440384"/>
        <c:crosses val="autoZero"/>
        <c:auto val="1"/>
        <c:lblOffset val="100"/>
        <c:baseTimeUnit val="days"/>
      </c:dateAx>
      <c:valAx>
        <c:axId val="235440384"/>
        <c:scaling>
          <c:orientation val="minMax"/>
          <c:max val="145"/>
          <c:min val="60"/>
        </c:scaling>
        <c:delete val="0"/>
        <c:axPos val="l"/>
        <c:numFmt formatCode="General" sourceLinked="1"/>
        <c:majorTickMark val="out"/>
        <c:minorTickMark val="none"/>
        <c:tickLblPos val="nextTo"/>
        <c:crossAx val="2354388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Returns(%)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034951881014872"/>
          <c:y val="3.2766477107028277E-2"/>
          <c:w val="0.85910651793525805"/>
          <c:h val="0.78126494604841057"/>
        </c:manualLayout>
      </c:layout>
      <c:lineChart>
        <c:grouping val="standard"/>
        <c:varyColors val="0"/>
        <c:ser>
          <c:idx val="0"/>
          <c:order val="0"/>
          <c:tx>
            <c:strRef>
              <c:f>monthly!$H$1</c:f>
              <c:strCache>
                <c:ptCount val="1"/>
                <c:pt idx="0">
                  <c:v>%RET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monthly!$A$2:$A$147</c:f>
              <c:numCache>
                <c:formatCode>m/d/yyyy</c:formatCode>
                <c:ptCount val="146"/>
                <c:pt idx="0">
                  <c:v>36528</c:v>
                </c:pt>
                <c:pt idx="1">
                  <c:v>36557</c:v>
                </c:pt>
                <c:pt idx="2">
                  <c:v>36586</c:v>
                </c:pt>
                <c:pt idx="3">
                  <c:v>36619</c:v>
                </c:pt>
                <c:pt idx="4">
                  <c:v>36647</c:v>
                </c:pt>
                <c:pt idx="5">
                  <c:v>36678</c:v>
                </c:pt>
                <c:pt idx="6">
                  <c:v>36710</c:v>
                </c:pt>
                <c:pt idx="7">
                  <c:v>36739</c:v>
                </c:pt>
                <c:pt idx="8">
                  <c:v>36770</c:v>
                </c:pt>
                <c:pt idx="9">
                  <c:v>36801</c:v>
                </c:pt>
                <c:pt idx="10">
                  <c:v>36831</c:v>
                </c:pt>
                <c:pt idx="11">
                  <c:v>36861</c:v>
                </c:pt>
                <c:pt idx="12">
                  <c:v>36893</c:v>
                </c:pt>
                <c:pt idx="13">
                  <c:v>36923</c:v>
                </c:pt>
                <c:pt idx="14">
                  <c:v>36951</c:v>
                </c:pt>
                <c:pt idx="15">
                  <c:v>36983</c:v>
                </c:pt>
                <c:pt idx="16">
                  <c:v>37012</c:v>
                </c:pt>
                <c:pt idx="17">
                  <c:v>37043</c:v>
                </c:pt>
                <c:pt idx="18">
                  <c:v>37074</c:v>
                </c:pt>
                <c:pt idx="19">
                  <c:v>37104</c:v>
                </c:pt>
                <c:pt idx="20">
                  <c:v>37138</c:v>
                </c:pt>
                <c:pt idx="21">
                  <c:v>37165</c:v>
                </c:pt>
                <c:pt idx="22">
                  <c:v>37196</c:v>
                </c:pt>
                <c:pt idx="23">
                  <c:v>37228</c:v>
                </c:pt>
                <c:pt idx="24">
                  <c:v>37258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37410</c:v>
                </c:pt>
                <c:pt idx="30">
                  <c:v>37438</c:v>
                </c:pt>
                <c:pt idx="31">
                  <c:v>37469</c:v>
                </c:pt>
                <c:pt idx="32">
                  <c:v>37502</c:v>
                </c:pt>
                <c:pt idx="33">
                  <c:v>37530</c:v>
                </c:pt>
                <c:pt idx="34">
                  <c:v>37561</c:v>
                </c:pt>
                <c:pt idx="35">
                  <c:v>37592</c:v>
                </c:pt>
                <c:pt idx="36">
                  <c:v>37623</c:v>
                </c:pt>
                <c:pt idx="37">
                  <c:v>37655</c:v>
                </c:pt>
                <c:pt idx="38">
                  <c:v>37683</c:v>
                </c:pt>
                <c:pt idx="39">
                  <c:v>37712</c:v>
                </c:pt>
                <c:pt idx="40">
                  <c:v>37742</c:v>
                </c:pt>
                <c:pt idx="41">
                  <c:v>37774</c:v>
                </c:pt>
                <c:pt idx="42">
                  <c:v>37803</c:v>
                </c:pt>
                <c:pt idx="43">
                  <c:v>37834</c:v>
                </c:pt>
                <c:pt idx="44">
                  <c:v>37866</c:v>
                </c:pt>
                <c:pt idx="45">
                  <c:v>37895</c:v>
                </c:pt>
                <c:pt idx="46">
                  <c:v>37928</c:v>
                </c:pt>
                <c:pt idx="47">
                  <c:v>37956</c:v>
                </c:pt>
                <c:pt idx="48">
                  <c:v>37988</c:v>
                </c:pt>
                <c:pt idx="49">
                  <c:v>38019</c:v>
                </c:pt>
                <c:pt idx="50">
                  <c:v>38047</c:v>
                </c:pt>
                <c:pt idx="51">
                  <c:v>38078</c:v>
                </c:pt>
                <c:pt idx="52">
                  <c:v>38110</c:v>
                </c:pt>
                <c:pt idx="53">
                  <c:v>38139</c:v>
                </c:pt>
                <c:pt idx="54">
                  <c:v>38169</c:v>
                </c:pt>
                <c:pt idx="55">
                  <c:v>38201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38355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38474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38628</c:v>
                </c:pt>
                <c:pt idx="70">
                  <c:v>38657</c:v>
                </c:pt>
                <c:pt idx="71">
                  <c:v>38687</c:v>
                </c:pt>
                <c:pt idx="72">
                  <c:v>38720</c:v>
                </c:pt>
                <c:pt idx="73">
                  <c:v>38749</c:v>
                </c:pt>
                <c:pt idx="74">
                  <c:v>38777</c:v>
                </c:pt>
                <c:pt idx="75">
                  <c:v>38810</c:v>
                </c:pt>
                <c:pt idx="76">
                  <c:v>38838</c:v>
                </c:pt>
                <c:pt idx="77">
                  <c:v>38869</c:v>
                </c:pt>
                <c:pt idx="78">
                  <c:v>38901</c:v>
                </c:pt>
                <c:pt idx="79">
                  <c:v>38930</c:v>
                </c:pt>
                <c:pt idx="80">
                  <c:v>38961</c:v>
                </c:pt>
                <c:pt idx="81">
                  <c:v>38992</c:v>
                </c:pt>
                <c:pt idx="82">
                  <c:v>39022</c:v>
                </c:pt>
                <c:pt idx="83">
                  <c:v>39052</c:v>
                </c:pt>
                <c:pt idx="84">
                  <c:v>39085</c:v>
                </c:pt>
                <c:pt idx="85">
                  <c:v>39114</c:v>
                </c:pt>
                <c:pt idx="86">
                  <c:v>39142</c:v>
                </c:pt>
                <c:pt idx="87">
                  <c:v>39174</c:v>
                </c:pt>
                <c:pt idx="88">
                  <c:v>39203</c:v>
                </c:pt>
                <c:pt idx="89">
                  <c:v>39234</c:v>
                </c:pt>
                <c:pt idx="90">
                  <c:v>39265</c:v>
                </c:pt>
                <c:pt idx="91">
                  <c:v>39295</c:v>
                </c:pt>
                <c:pt idx="92">
                  <c:v>39329</c:v>
                </c:pt>
                <c:pt idx="93">
                  <c:v>39356</c:v>
                </c:pt>
                <c:pt idx="94">
                  <c:v>39387</c:v>
                </c:pt>
                <c:pt idx="95">
                  <c:v>39419</c:v>
                </c:pt>
                <c:pt idx="96">
                  <c:v>39449</c:v>
                </c:pt>
                <c:pt idx="97">
                  <c:v>39479</c:v>
                </c:pt>
                <c:pt idx="98">
                  <c:v>39510</c:v>
                </c:pt>
                <c:pt idx="99">
                  <c:v>39539</c:v>
                </c:pt>
                <c:pt idx="100">
                  <c:v>39569</c:v>
                </c:pt>
                <c:pt idx="101">
                  <c:v>39601</c:v>
                </c:pt>
                <c:pt idx="102">
                  <c:v>39630</c:v>
                </c:pt>
                <c:pt idx="103">
                  <c:v>39661</c:v>
                </c:pt>
                <c:pt idx="104">
                  <c:v>39693</c:v>
                </c:pt>
                <c:pt idx="105">
                  <c:v>39722</c:v>
                </c:pt>
                <c:pt idx="106">
                  <c:v>39755</c:v>
                </c:pt>
                <c:pt idx="107">
                  <c:v>39783</c:v>
                </c:pt>
                <c:pt idx="108">
                  <c:v>39815</c:v>
                </c:pt>
                <c:pt idx="109">
                  <c:v>39846</c:v>
                </c:pt>
                <c:pt idx="110">
                  <c:v>39874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40028</c:v>
                </c:pt>
                <c:pt idx="116">
                  <c:v>40057</c:v>
                </c:pt>
                <c:pt idx="117">
                  <c:v>40087</c:v>
                </c:pt>
                <c:pt idx="118">
                  <c:v>40119</c:v>
                </c:pt>
                <c:pt idx="119">
                  <c:v>40148</c:v>
                </c:pt>
                <c:pt idx="120">
                  <c:v>40182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40301</c:v>
                </c:pt>
                <c:pt idx="125">
                  <c:v>40330</c:v>
                </c:pt>
                <c:pt idx="126">
                  <c:v>40360</c:v>
                </c:pt>
                <c:pt idx="127">
                  <c:v>40392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40546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40665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40819</c:v>
                </c:pt>
                <c:pt idx="142">
                  <c:v>40848</c:v>
                </c:pt>
                <c:pt idx="143">
                  <c:v>40878</c:v>
                </c:pt>
                <c:pt idx="144">
                  <c:v>40911</c:v>
                </c:pt>
                <c:pt idx="145">
                  <c:v>40940</c:v>
                </c:pt>
              </c:numCache>
            </c:numRef>
          </c:cat>
          <c:val>
            <c:numRef>
              <c:f>monthly!$H$2:$H$147</c:f>
              <c:numCache>
                <c:formatCode>0.00%</c:formatCode>
                <c:ptCount val="146"/>
                <c:pt idx="0">
                  <c:v>#N/A</c:v>
                </c:pt>
                <c:pt idx="1">
                  <c:v>-1.5276964666604442E-2</c:v>
                </c:pt>
                <c:pt idx="2">
                  <c:v>9.2515459433034408E-2</c:v>
                </c:pt>
                <c:pt idx="3">
                  <c:v>-3.579967862023814E-2</c:v>
                </c:pt>
                <c:pt idx="4">
                  <c:v>-1.5854406418157829E-2</c:v>
                </c:pt>
                <c:pt idx="5">
                  <c:v>1.9484174468736626E-2</c:v>
                </c:pt>
                <c:pt idx="6">
                  <c:v>-1.5796506810458411E-2</c:v>
                </c:pt>
                <c:pt idx="7">
                  <c:v>6.3269740201437941E-2</c:v>
                </c:pt>
                <c:pt idx="8">
                  <c:v>-5.6359923841251103E-2</c:v>
                </c:pt>
                <c:pt idx="9">
                  <c:v>-4.7720584807686706E-3</c:v>
                </c:pt>
                <c:pt idx="10">
                  <c:v>-7.7589922534104794E-2</c:v>
                </c:pt>
                <c:pt idx="11">
                  <c:v>-5.5540270513754209E-3</c:v>
                </c:pt>
                <c:pt idx="12">
                  <c:v>4.3502886715555356E-2</c:v>
                </c:pt>
                <c:pt idx="13">
                  <c:v>-0.10021911615740819</c:v>
                </c:pt>
                <c:pt idx="14">
                  <c:v>-5.7730689692520265E-2</c:v>
                </c:pt>
                <c:pt idx="15">
                  <c:v>8.1994302361393601E-2</c:v>
                </c:pt>
                <c:pt idx="16">
                  <c:v>-5.5769375314786984E-3</c:v>
                </c:pt>
                <c:pt idx="17">
                  <c:v>-2.4203386990982345E-2</c:v>
                </c:pt>
                <c:pt idx="18">
                  <c:v>-1.0226966959896444E-2</c:v>
                </c:pt>
                <c:pt idx="19">
                  <c:v>-6.1111267155179227E-2</c:v>
                </c:pt>
                <c:pt idx="20">
                  <c:v>-8.5219106397413036E-2</c:v>
                </c:pt>
                <c:pt idx="21">
                  <c:v>1.2970052693092704E-2</c:v>
                </c:pt>
                <c:pt idx="22">
                  <c:v>7.5109376646028458E-2</c:v>
                </c:pt>
                <c:pt idx="23">
                  <c:v>2.2190530583126034E-3</c:v>
                </c:pt>
                <c:pt idx="24">
                  <c:v>-9.8648373577461257E-3</c:v>
                </c:pt>
                <c:pt idx="25">
                  <c:v>-1.8070837017019059E-2</c:v>
                </c:pt>
                <c:pt idx="26">
                  <c:v>3.2674271142373534E-2</c:v>
                </c:pt>
                <c:pt idx="27">
                  <c:v>-5.9961694212072203E-2</c:v>
                </c:pt>
                <c:pt idx="28">
                  <c:v>-5.9294238721676606E-3</c:v>
                </c:pt>
                <c:pt idx="29">
                  <c:v>-7.6700751854538396E-2</c:v>
                </c:pt>
                <c:pt idx="30">
                  <c:v>-8.2023506704206994E-2</c:v>
                </c:pt>
                <c:pt idx="31">
                  <c:v>6.8152295244701122E-3</c:v>
                </c:pt>
                <c:pt idx="32">
                  <c:v>-0.1108031415469668</c:v>
                </c:pt>
                <c:pt idx="33">
                  <c:v>7.9088150150735004E-2</c:v>
                </c:pt>
                <c:pt idx="34">
                  <c:v>5.9791529767124096E-2</c:v>
                </c:pt>
                <c:pt idx="35">
                  <c:v>-5.8174932351875874E-2</c:v>
                </c:pt>
                <c:pt idx="36">
                  <c:v>-2.4941667696784187E-2</c:v>
                </c:pt>
                <c:pt idx="37">
                  <c:v>-1.3616995175703472E-2</c:v>
                </c:pt>
                <c:pt idx="38">
                  <c:v>2.2358869012837346E-3</c:v>
                </c:pt>
                <c:pt idx="39">
                  <c:v>8.1201680181090197E-2</c:v>
                </c:pt>
                <c:pt idx="40">
                  <c:v>5.3376065997097655E-2</c:v>
                </c:pt>
                <c:pt idx="41">
                  <c:v>1.0558991239473237E-2</c:v>
                </c:pt>
                <c:pt idx="42">
                  <c:v>1.7947358976377892E-2</c:v>
                </c:pt>
                <c:pt idx="43">
                  <c:v>2.0307053823903409E-2</c:v>
                </c:pt>
                <c:pt idx="44">
                  <c:v>-1.0865227514488041E-2</c:v>
                </c:pt>
                <c:pt idx="45">
                  <c:v>5.2068278867938744E-2</c:v>
                </c:pt>
                <c:pt idx="46">
                  <c:v>1.0868466748799044E-2</c:v>
                </c:pt>
                <c:pt idx="47">
                  <c:v>4.9073758253669553E-2</c:v>
                </c:pt>
                <c:pt idx="48">
                  <c:v>1.965435283988981E-2</c:v>
                </c:pt>
                <c:pt idx="49">
                  <c:v>1.3399678831569339E-2</c:v>
                </c:pt>
                <c:pt idx="50">
                  <c:v>-1.3296708126643964E-2</c:v>
                </c:pt>
                <c:pt idx="51">
                  <c:v>-1.9127402264143889E-2</c:v>
                </c:pt>
                <c:pt idx="52">
                  <c:v>1.6962787699414505E-2</c:v>
                </c:pt>
                <c:pt idx="53">
                  <c:v>1.8403545683337796E-2</c:v>
                </c:pt>
                <c:pt idx="54">
                  <c:v>-3.2745924147879357E-2</c:v>
                </c:pt>
                <c:pt idx="55">
                  <c:v>2.4047269678009187E-3</c:v>
                </c:pt>
                <c:pt idx="56">
                  <c:v>9.975145056818846E-3</c:v>
                </c:pt>
                <c:pt idx="57">
                  <c:v>1.2841103050013736E-2</c:v>
                </c:pt>
                <c:pt idx="58">
                  <c:v>4.3541575742112926E-2</c:v>
                </c:pt>
                <c:pt idx="59">
                  <c:v>2.9654623168434036E-2</c:v>
                </c:pt>
                <c:pt idx="60">
                  <c:v>-2.2643200930629881E-2</c:v>
                </c:pt>
                <c:pt idx="61">
                  <c:v>2.0648992967141844E-2</c:v>
                </c:pt>
                <c:pt idx="62">
                  <c:v>-1.8419553765222751E-2</c:v>
                </c:pt>
                <c:pt idx="63">
                  <c:v>-1.8962546490623566E-2</c:v>
                </c:pt>
                <c:pt idx="64">
                  <c:v>3.1757949307905875E-2</c:v>
                </c:pt>
                <c:pt idx="65">
                  <c:v>1.5283220092046079E-3</c:v>
                </c:pt>
                <c:pt idx="66">
                  <c:v>3.7468089740885446E-2</c:v>
                </c:pt>
                <c:pt idx="67">
                  <c:v>-9.4218321219017298E-3</c:v>
                </c:pt>
                <c:pt idx="68">
                  <c:v>8.0418236228414486E-3</c:v>
                </c:pt>
                <c:pt idx="69">
                  <c:v>-2.3944871596007111E-2</c:v>
                </c:pt>
                <c:pt idx="70">
                  <c:v>4.300348886068317E-2</c:v>
                </c:pt>
                <c:pt idx="71">
                  <c:v>-1.8986489135670581E-3</c:v>
                </c:pt>
                <c:pt idx="72">
                  <c:v>2.3698851121738862E-2</c:v>
                </c:pt>
                <c:pt idx="73">
                  <c:v>5.7281496126835307E-3</c:v>
                </c:pt>
                <c:pt idx="74">
                  <c:v>1.6385236718224228E-2</c:v>
                </c:pt>
                <c:pt idx="75">
                  <c:v>1.254204225118194E-2</c:v>
                </c:pt>
                <c:pt idx="76">
                  <c:v>-3.0598270079823742E-2</c:v>
                </c:pt>
                <c:pt idx="77">
                  <c:v>2.637132330008285E-3</c:v>
                </c:pt>
                <c:pt idx="78">
                  <c:v>4.4672259285620797E-3</c:v>
                </c:pt>
                <c:pt idx="79">
                  <c:v>2.1614051402662149E-2</c:v>
                </c:pt>
                <c:pt idx="80">
                  <c:v>2.6584965799581362E-2</c:v>
                </c:pt>
                <c:pt idx="81">
                  <c:v>3.1076989467288207E-2</c:v>
                </c:pt>
                <c:pt idx="82">
                  <c:v>1.9666474437471493E-2</c:v>
                </c:pt>
                <c:pt idx="83">
                  <c:v>1.3290015920631504E-2</c:v>
                </c:pt>
                <c:pt idx="84">
                  <c:v>1.4887458026627165E-2</c:v>
                </c:pt>
                <c:pt idx="85">
                  <c:v>-1.9821098951425142E-2</c:v>
                </c:pt>
                <c:pt idx="86">
                  <c:v>1.1551798767276189E-2</c:v>
                </c:pt>
                <c:pt idx="87">
                  <c:v>4.33579660429535E-2</c:v>
                </c:pt>
                <c:pt idx="88">
                  <c:v>3.3324238100336245E-2</c:v>
                </c:pt>
                <c:pt idx="89">
                  <c:v>-1.4698161285517486E-2</c:v>
                </c:pt>
                <c:pt idx="90">
                  <c:v>-3.1791051156108807E-2</c:v>
                </c:pt>
                <c:pt idx="91">
                  <c:v>1.271901030833078E-2</c:v>
                </c:pt>
                <c:pt idx="92">
                  <c:v>3.8001874218140941E-2</c:v>
                </c:pt>
                <c:pt idx="93">
                  <c:v>1.3436380296336203E-2</c:v>
                </c:pt>
                <c:pt idx="94">
                  <c:v>-3.9466488710585779E-2</c:v>
                </c:pt>
                <c:pt idx="95">
                  <c:v>-1.1302894313754308E-2</c:v>
                </c:pt>
                <c:pt idx="96">
                  <c:v>-6.2381364580160081E-2</c:v>
                </c:pt>
                <c:pt idx="97">
                  <c:v>-2.6198173656584167E-2</c:v>
                </c:pt>
                <c:pt idx="98">
                  <c:v>-8.9694012931191835E-3</c:v>
                </c:pt>
                <c:pt idx="99">
                  <c:v>4.6568413930537567E-2</c:v>
                </c:pt>
                <c:pt idx="100">
                  <c:v>1.4976031595034023E-2</c:v>
                </c:pt>
                <c:pt idx="101">
                  <c:v>-8.726346723927314E-2</c:v>
                </c:pt>
                <c:pt idx="102">
                  <c:v>-9.0330275260361859E-3</c:v>
                </c:pt>
                <c:pt idx="103">
                  <c:v>1.5316297056179984E-2</c:v>
                </c:pt>
                <c:pt idx="104">
                  <c:v>-9.8849088445080113E-2</c:v>
                </c:pt>
                <c:pt idx="105">
                  <c:v>-0.18057145272270336</c:v>
                </c:pt>
                <c:pt idx="106">
                  <c:v>-7.2113615096951911E-2</c:v>
                </c:pt>
                <c:pt idx="107">
                  <c:v>9.6858777553219255E-3</c:v>
                </c:pt>
                <c:pt idx="108">
                  <c:v>-8.5612439313209165E-2</c:v>
                </c:pt>
                <c:pt idx="109">
                  <c:v>-0.11366168990810532</c:v>
                </c:pt>
                <c:pt idx="110">
                  <c:v>7.9932338488500676E-2</c:v>
                </c:pt>
                <c:pt idx="111">
                  <c:v>9.4707951541619373E-2</c:v>
                </c:pt>
                <c:pt idx="112">
                  <c:v>5.6790206836508261E-2</c:v>
                </c:pt>
                <c:pt idx="113">
                  <c:v>-5.6931399203552502E-4</c:v>
                </c:pt>
                <c:pt idx="114">
                  <c:v>7.1949771173487775E-2</c:v>
                </c:pt>
                <c:pt idx="115">
                  <c:v>3.6220006654779091E-2</c:v>
                </c:pt>
                <c:pt idx="116">
                  <c:v>3.4855132785299503E-2</c:v>
                </c:pt>
                <c:pt idx="117">
                  <c:v>-1.9437442256811543E-2</c:v>
                </c:pt>
                <c:pt idx="118">
                  <c:v>5.9777583290697045E-2</c:v>
                </c:pt>
                <c:pt idx="119">
                  <c:v>1.8971267696449523E-2</c:v>
                </c:pt>
                <c:pt idx="120">
                  <c:v>-3.7053558989226687E-2</c:v>
                </c:pt>
                <c:pt idx="121">
                  <c:v>3.0707294105858374E-2</c:v>
                </c:pt>
                <c:pt idx="122">
                  <c:v>5.5007948161940767E-2</c:v>
                </c:pt>
                <c:pt idx="123">
                  <c:v>1.5388301017094541E-2</c:v>
                </c:pt>
                <c:pt idx="124">
                  <c:v>-8.2831642586921994E-2</c:v>
                </c:pt>
                <c:pt idx="125">
                  <c:v>-5.3146020696628327E-2</c:v>
                </c:pt>
                <c:pt idx="126">
                  <c:v>6.6143001539716195E-2</c:v>
                </c:pt>
                <c:pt idx="127">
                  <c:v>-4.6052266900979966E-2</c:v>
                </c:pt>
                <c:pt idx="128">
                  <c:v>8.5769506180656485E-2</c:v>
                </c:pt>
                <c:pt idx="129">
                  <c:v>3.7507153984022601E-2</c:v>
                </c:pt>
                <c:pt idx="130">
                  <c:v>0</c:v>
                </c:pt>
                <c:pt idx="131">
                  <c:v>6.472797915288897E-2</c:v>
                </c:pt>
                <c:pt idx="132">
                  <c:v>2.3033801935680387E-2</c:v>
                </c:pt>
                <c:pt idx="133">
                  <c:v>3.4084016779736714E-2</c:v>
                </c:pt>
                <c:pt idx="134">
                  <c:v>1.5335071338107298E-4</c:v>
                </c:pt>
                <c:pt idx="135">
                  <c:v>2.8569053027522884E-2</c:v>
                </c:pt>
                <c:pt idx="136">
                  <c:v>-1.131479607155228E-2</c:v>
                </c:pt>
                <c:pt idx="137">
                  <c:v>-1.7024274970212083E-2</c:v>
                </c:pt>
                <c:pt idx="138">
                  <c:v>-2.0208964630754167E-2</c:v>
                </c:pt>
                <c:pt idx="139">
                  <c:v>-5.6555867026601092E-2</c:v>
                </c:pt>
                <c:pt idx="140">
                  <c:v>-7.1882088672263755E-2</c:v>
                </c:pt>
                <c:pt idx="141">
                  <c:v>0.10357129589432468</c:v>
                </c:pt>
                <c:pt idx="142">
                  <c:v>-4.0978724332774163E-3</c:v>
                </c:pt>
                <c:pt idx="143">
                  <c:v>1.0412589072460676E-2</c:v>
                </c:pt>
                <c:pt idx="144">
                  <c:v>4.5331334061552653E-2</c:v>
                </c:pt>
                <c:pt idx="145">
                  <c:v>2.3555290081482383E-2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456768"/>
        <c:axId val="235466752"/>
      </c:lineChart>
      <c:dateAx>
        <c:axId val="235456768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low"/>
        <c:crossAx val="235466752"/>
        <c:crosses val="autoZero"/>
        <c:auto val="1"/>
        <c:lblOffset val="100"/>
        <c:baseTimeUnit val="days"/>
      </c:dateAx>
      <c:valAx>
        <c:axId val="235466752"/>
        <c:scaling>
          <c:orientation val="minMax"/>
        </c:scaling>
        <c:delete val="0"/>
        <c:axPos val="l"/>
        <c:numFmt formatCode="0%" sourceLinked="0"/>
        <c:majorTickMark val="out"/>
        <c:minorTickMark val="none"/>
        <c:tickLblPos val="nextTo"/>
        <c:crossAx val="23545676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GARCH (Local)</c:v>
          </c:tx>
          <c:spPr>
            <a:ln w="19050">
              <a:prstDash val="sysDot"/>
            </a:ln>
          </c:spPr>
          <c:marker>
            <c:symbol val="diamond"/>
            <c:size val="5"/>
          </c:marker>
          <c:cat>
            <c:numRef>
              <c:f>monthly!$L$69:$L$86</c:f>
              <c:numCache>
                <c:formatCode>[$-409]mmm\-yy;@</c:formatCode>
                <c:ptCount val="18"/>
                <c:pt idx="0">
                  <c:v>40969</c:v>
                </c:pt>
                <c:pt idx="1">
                  <c:v>41000</c:v>
                </c:pt>
                <c:pt idx="2">
                  <c:v>41030</c:v>
                </c:pt>
                <c:pt idx="3">
                  <c:v>41061</c:v>
                </c:pt>
                <c:pt idx="4">
                  <c:v>41091</c:v>
                </c:pt>
                <c:pt idx="5">
                  <c:v>41122</c:v>
                </c:pt>
                <c:pt idx="6">
                  <c:v>41153</c:v>
                </c:pt>
                <c:pt idx="7">
                  <c:v>41183</c:v>
                </c:pt>
                <c:pt idx="8">
                  <c:v>41214</c:v>
                </c:pt>
                <c:pt idx="9">
                  <c:v>41244</c:v>
                </c:pt>
                <c:pt idx="10">
                  <c:v>41275</c:v>
                </c:pt>
                <c:pt idx="11">
                  <c:v>41306</c:v>
                </c:pt>
                <c:pt idx="12">
                  <c:v>41334</c:v>
                </c:pt>
                <c:pt idx="13">
                  <c:v>41365</c:v>
                </c:pt>
                <c:pt idx="14">
                  <c:v>41395</c:v>
                </c:pt>
                <c:pt idx="15">
                  <c:v>41426</c:v>
                </c:pt>
                <c:pt idx="16">
                  <c:v>41456</c:v>
                </c:pt>
                <c:pt idx="17">
                  <c:v>41487</c:v>
                </c:pt>
              </c:numCache>
            </c:numRef>
          </c:cat>
          <c:val>
            <c:numRef>
              <c:f>monthly!$O$69:$O$80</c:f>
              <c:numCache>
                <c:formatCode>0.00%</c:formatCode>
                <c:ptCount val="12"/>
                <c:pt idx="0">
                  <c:v>4.2657886249163363E-2</c:v>
                </c:pt>
                <c:pt idx="1">
                  <c:v>4.8507763793803192E-2</c:v>
                </c:pt>
                <c:pt idx="2">
                  <c:v>4.569792118641286E-2</c:v>
                </c:pt>
                <c:pt idx="3">
                  <c:v>4.6981763034328716E-2</c:v>
                </c:pt>
                <c:pt idx="4">
                  <c:v>4.6381219444652649E-2</c:v>
                </c:pt>
                <c:pt idx="5">
                  <c:v>4.6659105517083285E-2</c:v>
                </c:pt>
                <c:pt idx="6">
                  <c:v>4.6529869919077121E-2</c:v>
                </c:pt>
                <c:pt idx="7">
                  <c:v>4.6589832520023834E-2</c:v>
                </c:pt>
                <c:pt idx="8">
                  <c:v>4.6561980846956369E-2</c:v>
                </c:pt>
                <c:pt idx="9">
                  <c:v>4.657491097335896E-2</c:v>
                </c:pt>
                <c:pt idx="10">
                  <c:v>4.6568906760066468E-2</c:v>
                </c:pt>
                <c:pt idx="11">
                  <c:v>4.6571694563571527E-2</c:v>
                </c:pt>
              </c:numCache>
            </c:numRef>
          </c:val>
          <c:smooth val="1"/>
        </c:ser>
        <c:ser>
          <c:idx val="1"/>
          <c:order val="1"/>
          <c:tx>
            <c:v>Term Structure</c:v>
          </c:tx>
          <c:spPr>
            <a:ln w="19050">
              <a:prstDash val="dashDot"/>
            </a:ln>
          </c:spPr>
          <c:marker>
            <c:symbol val="triangle"/>
            <c:size val="5"/>
          </c:marker>
          <c:cat>
            <c:numRef>
              <c:f>monthly!$L$69:$L$86</c:f>
              <c:numCache>
                <c:formatCode>[$-409]mmm\-yy;@</c:formatCode>
                <c:ptCount val="18"/>
                <c:pt idx="0">
                  <c:v>40969</c:v>
                </c:pt>
                <c:pt idx="1">
                  <c:v>41000</c:v>
                </c:pt>
                <c:pt idx="2">
                  <c:v>41030</c:v>
                </c:pt>
                <c:pt idx="3">
                  <c:v>41061</c:v>
                </c:pt>
                <c:pt idx="4">
                  <c:v>41091</c:v>
                </c:pt>
                <c:pt idx="5">
                  <c:v>41122</c:v>
                </c:pt>
                <c:pt idx="6">
                  <c:v>41153</c:v>
                </c:pt>
                <c:pt idx="7">
                  <c:v>41183</c:v>
                </c:pt>
                <c:pt idx="8">
                  <c:v>41214</c:v>
                </c:pt>
                <c:pt idx="9">
                  <c:v>41244</c:v>
                </c:pt>
                <c:pt idx="10">
                  <c:v>41275</c:v>
                </c:pt>
                <c:pt idx="11">
                  <c:v>41306</c:v>
                </c:pt>
                <c:pt idx="12">
                  <c:v>41334</c:v>
                </c:pt>
                <c:pt idx="13">
                  <c:v>41365</c:v>
                </c:pt>
                <c:pt idx="14">
                  <c:v>41395</c:v>
                </c:pt>
                <c:pt idx="15">
                  <c:v>41426</c:v>
                </c:pt>
                <c:pt idx="16">
                  <c:v>41456</c:v>
                </c:pt>
                <c:pt idx="17">
                  <c:v>41487</c:v>
                </c:pt>
              </c:numCache>
            </c:numRef>
          </c:cat>
          <c:val>
            <c:numRef>
              <c:f>monthly!$P$69:$P$80</c:f>
              <c:numCache>
                <c:formatCode>0.00%</c:formatCode>
                <c:ptCount val="12"/>
                <c:pt idx="0">
                  <c:v>4.2657886249163363E-2</c:v>
                </c:pt>
                <c:pt idx="1">
                  <c:v>4.5676571716373182E-2</c:v>
                </c:pt>
                <c:pt idx="2">
                  <c:v>4.5683689314975302E-2</c:v>
                </c:pt>
                <c:pt idx="3">
                  <c:v>4.601164109792049E-2</c:v>
                </c:pt>
                <c:pt idx="4">
                  <c:v>4.6085793870277218E-2</c:v>
                </c:pt>
                <c:pt idx="5">
                  <c:v>4.6181840065337945E-2</c:v>
                </c:pt>
                <c:pt idx="6">
                  <c:v>4.6231719021235004E-2</c:v>
                </c:pt>
                <c:pt idx="7">
                  <c:v>4.6276634762929814E-2</c:v>
                </c:pt>
                <c:pt idx="8">
                  <c:v>4.6308426711255096E-2</c:v>
                </c:pt>
                <c:pt idx="9">
                  <c:v>4.6335144105119033E-2</c:v>
                </c:pt>
                <c:pt idx="10">
                  <c:v>4.6356443966340602E-2</c:v>
                </c:pt>
                <c:pt idx="11">
                  <c:v>4.6374419676307753E-2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0446208"/>
        <c:axId val="250447744"/>
      </c:lineChart>
      <c:dateAx>
        <c:axId val="250446208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crossAx val="250447744"/>
        <c:crosses val="autoZero"/>
        <c:auto val="1"/>
        <c:lblOffset val="100"/>
        <c:baseTimeUnit val="months"/>
      </c:dateAx>
      <c:valAx>
        <c:axId val="250447744"/>
        <c:scaling>
          <c:orientation val="minMax"/>
          <c:min val="4.200000000000001E-2"/>
        </c:scaling>
        <c:delete val="0"/>
        <c:axPos val="l"/>
        <c:numFmt formatCode="0.0%" sourceLinked="0"/>
        <c:majorTickMark val="out"/>
        <c:minorTickMark val="none"/>
        <c:tickLblPos val="nextTo"/>
        <c:crossAx val="25044620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077755905511826"/>
          <c:y val="0.55517169728783899"/>
          <c:w val="0.27518153980752408"/>
          <c:h val="0.16743438320209975"/>
        </c:manualLayout>
      </c:layout>
      <c:overlay val="1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14287</xdr:rowOff>
    </xdr:from>
    <xdr:to>
      <xdr:col>22</xdr:col>
      <xdr:colOff>19050</xdr:colOff>
      <xdr:row>15</xdr:row>
      <xdr:rowOff>90487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0</xdr:colOff>
      <xdr:row>32</xdr:row>
      <xdr:rowOff>0</xdr:rowOff>
    </xdr:from>
    <xdr:to>
      <xdr:col>32</xdr:col>
      <xdr:colOff>0</xdr:colOff>
      <xdr:row>40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40</xdr:row>
      <xdr:rowOff>0</xdr:rowOff>
    </xdr:from>
    <xdr:to>
      <xdr:col>32</xdr:col>
      <xdr:colOff>0</xdr:colOff>
      <xdr:row>49</xdr:row>
      <xdr:rowOff>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19050</xdr:colOff>
      <xdr:row>1</xdr:row>
      <xdr:rowOff>14287</xdr:rowOff>
    </xdr:from>
    <xdr:to>
      <xdr:col>30</xdr:col>
      <xdr:colOff>323850</xdr:colOff>
      <xdr:row>15</xdr:row>
      <xdr:rowOff>90487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590550</xdr:colOff>
      <xdr:row>1</xdr:row>
      <xdr:rowOff>4762</xdr:rowOff>
    </xdr:from>
    <xdr:to>
      <xdr:col>38</xdr:col>
      <xdr:colOff>285750</xdr:colOff>
      <xdr:row>15</xdr:row>
      <xdr:rowOff>80962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114300</xdr:colOff>
      <xdr:row>66</xdr:row>
      <xdr:rowOff>66674</xdr:rowOff>
    </xdr:from>
    <xdr:to>
      <xdr:col>30</xdr:col>
      <xdr:colOff>285750</xdr:colOff>
      <xdr:row>85</xdr:row>
      <xdr:rowOff>152399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7"/>
  <sheetViews>
    <sheetView tabSelected="1" topLeftCell="L1" zoomScale="80" zoomScaleNormal="80" workbookViewId="0">
      <pane ySplit="1" topLeftCell="A3" activePane="bottomLeft" state="frozen"/>
      <selection pane="bottomLeft" activeCell="AA92" sqref="AA92:AA93"/>
    </sheetView>
  </sheetViews>
  <sheetFormatPr defaultRowHeight="15" x14ac:dyDescent="0.25"/>
  <cols>
    <col min="1" max="1" width="12.28515625" customWidth="1"/>
    <col min="2" max="5" width="9.140625" style="2"/>
    <col min="6" max="6" width="13.5703125" style="2" customWidth="1"/>
    <col min="7" max="7" width="9.140625" style="2"/>
    <col min="11" max="11" width="9.140625" customWidth="1"/>
    <col min="16" max="16" width="9.85546875" customWidth="1"/>
    <col min="17" max="17" width="11.28515625" bestFit="1" customWidth="1"/>
    <col min="18" max="18" width="10.5703125" bestFit="1" customWidth="1"/>
  </cols>
  <sheetData>
    <row r="1" spans="1:12" ht="15.75" thickBot="1" x14ac:dyDescent="0.3">
      <c r="A1" s="22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5" t="s">
        <v>7</v>
      </c>
      <c r="I1" s="25" t="s">
        <v>8</v>
      </c>
      <c r="J1" s="25" t="s">
        <v>9</v>
      </c>
      <c r="K1" s="24" t="s">
        <v>47</v>
      </c>
    </row>
    <row r="2" spans="1:12" x14ac:dyDescent="0.25">
      <c r="A2" s="1">
        <v>36528</v>
      </c>
      <c r="B2" s="2">
        <v>148.25</v>
      </c>
      <c r="C2" s="2">
        <v>148.25</v>
      </c>
      <c r="D2" s="2">
        <v>135</v>
      </c>
      <c r="E2" s="2">
        <v>139.56</v>
      </c>
      <c r="F2" s="2">
        <v>8376900</v>
      </c>
      <c r="G2" s="2">
        <v>113.45</v>
      </c>
      <c r="H2" s="4" t="e">
        <f t="array" ref="H2:H147">_xll.DIFF(LN($G$2:$G$147),1,1)</f>
        <v>#N/A</v>
      </c>
      <c r="I2" s="4" t="e">
        <f t="array" ref="I2:I147">_xll.WMA($H$2:$H$147,1,12)</f>
        <v>#N/A</v>
      </c>
      <c r="J2" t="e">
        <v>#N/A</v>
      </c>
    </row>
    <row r="3" spans="1:12" x14ac:dyDescent="0.25">
      <c r="A3" s="1">
        <v>36557</v>
      </c>
      <c r="B3" s="2">
        <v>139.75</v>
      </c>
      <c r="C3" s="2">
        <v>144.56</v>
      </c>
      <c r="D3" s="2">
        <v>132.72</v>
      </c>
      <c r="E3" s="2">
        <v>137.44</v>
      </c>
      <c r="F3" s="2">
        <v>9759000</v>
      </c>
      <c r="G3" s="2">
        <v>111.73</v>
      </c>
      <c r="H3" s="4">
        <v>-1.5276964666604442E-2</v>
      </c>
      <c r="I3" s="4">
        <v>-1.5276964666604442E-2</v>
      </c>
      <c r="J3" t="e">
        <v>#N/A</v>
      </c>
    </row>
    <row r="4" spans="1:12" x14ac:dyDescent="0.25">
      <c r="A4" s="1">
        <v>36586</v>
      </c>
      <c r="B4" s="2">
        <v>137.63</v>
      </c>
      <c r="C4" s="2">
        <v>155.75</v>
      </c>
      <c r="D4" s="2">
        <v>135.03</v>
      </c>
      <c r="E4" s="2">
        <v>150.38</v>
      </c>
      <c r="F4" s="2">
        <v>11167100</v>
      </c>
      <c r="G4" s="2">
        <v>122.56</v>
      </c>
      <c r="H4" s="4">
        <v>9.2515459433034408E-2</v>
      </c>
      <c r="I4" s="4">
        <v>3.8619247383214983E-2</v>
      </c>
      <c r="J4" s="3">
        <f>_xll.EWMA(H3,1,,1)</f>
        <v>3.7420768251708631E-3</v>
      </c>
    </row>
    <row r="5" spans="1:12" x14ac:dyDescent="0.25">
      <c r="A5" s="1">
        <v>36619</v>
      </c>
      <c r="B5" s="2">
        <v>150.13</v>
      </c>
      <c r="C5" s="2">
        <v>153.11000000000001</v>
      </c>
      <c r="D5" s="2">
        <v>133.5</v>
      </c>
      <c r="E5" s="2">
        <v>145.09</v>
      </c>
      <c r="F5" s="2">
        <v>12525700</v>
      </c>
      <c r="G5" s="2">
        <v>118.25</v>
      </c>
      <c r="H5" s="4">
        <v>-3.579967862023814E-2</v>
      </c>
      <c r="I5" s="4">
        <v>1.3812938715397276E-2</v>
      </c>
      <c r="J5" s="3">
        <f>_xll.EWMA($H$3:H4,1,,1)</f>
        <v>2.2950153913947474E-2</v>
      </c>
    </row>
    <row r="6" spans="1:12" x14ac:dyDescent="0.25">
      <c r="A6" s="1">
        <v>36647</v>
      </c>
      <c r="B6" s="2">
        <v>146.56</v>
      </c>
      <c r="C6" s="2">
        <v>148.47999999999999</v>
      </c>
      <c r="D6" s="2">
        <v>136.5</v>
      </c>
      <c r="E6" s="2">
        <v>142.81</v>
      </c>
      <c r="F6" s="2">
        <v>7594500</v>
      </c>
      <c r="G6" s="2">
        <v>116.39</v>
      </c>
      <c r="H6" s="4">
        <v>-1.5854406418157829E-2</v>
      </c>
      <c r="I6" s="4">
        <v>6.3961024320085009E-3</v>
      </c>
      <c r="J6" s="3">
        <f>_xll.EWMA($H$3:H5,1,,1)</f>
        <v>2.3916605322498969E-2</v>
      </c>
    </row>
    <row r="7" spans="1:12" x14ac:dyDescent="0.25">
      <c r="A7" s="1">
        <v>36678</v>
      </c>
      <c r="B7" s="2">
        <v>143.69</v>
      </c>
      <c r="C7" s="2">
        <v>149.16</v>
      </c>
      <c r="D7" s="2">
        <v>143</v>
      </c>
      <c r="E7" s="2">
        <v>145.28</v>
      </c>
      <c r="F7" s="2">
        <v>6116600</v>
      </c>
      <c r="G7" s="2">
        <v>118.68</v>
      </c>
      <c r="H7" s="4">
        <v>1.9484174468736626E-2</v>
      </c>
      <c r="I7" s="4">
        <v>9.0137168393541259E-3</v>
      </c>
      <c r="J7" s="3">
        <f>_xll.EWMA($H$3:H6,1,,1)</f>
        <v>2.3510965563229902E-2</v>
      </c>
    </row>
    <row r="8" spans="1:12" x14ac:dyDescent="0.25">
      <c r="A8" s="1">
        <v>36710</v>
      </c>
      <c r="B8" s="2">
        <v>145.44</v>
      </c>
      <c r="C8" s="2">
        <v>151.97999999999999</v>
      </c>
      <c r="D8" s="2">
        <v>141.52000000000001</v>
      </c>
      <c r="E8" s="2">
        <v>143</v>
      </c>
      <c r="F8" s="2">
        <v>5602200</v>
      </c>
      <c r="G8" s="2">
        <v>116.82</v>
      </c>
      <c r="H8" s="4">
        <v>-1.5796506810458411E-2</v>
      </c>
      <c r="I8" s="4">
        <v>4.8786795643853704E-3</v>
      </c>
      <c r="J8" s="3">
        <f>_xll.EWMA($H$3:H7,1,,1)</f>
        <v>2.3289000727728732E-2</v>
      </c>
    </row>
    <row r="9" spans="1:12" x14ac:dyDescent="0.25">
      <c r="A9" s="1">
        <v>36739</v>
      </c>
      <c r="B9" s="2">
        <v>143.63</v>
      </c>
      <c r="C9" s="2">
        <v>153.09</v>
      </c>
      <c r="D9" s="2">
        <v>142.63</v>
      </c>
      <c r="E9" s="2">
        <v>152.34</v>
      </c>
      <c r="F9" s="2">
        <v>4662100</v>
      </c>
      <c r="G9" s="2">
        <v>124.45</v>
      </c>
      <c r="H9" s="4">
        <v>6.3269740201437941E-2</v>
      </c>
      <c r="I9" s="4">
        <v>1.322025965539288E-2</v>
      </c>
      <c r="J9" s="3">
        <f>_xll.EWMA($H$3:H8,1,,1)</f>
        <v>2.2908659481670941E-2</v>
      </c>
    </row>
    <row r="10" spans="1:12" x14ac:dyDescent="0.25">
      <c r="A10" s="1">
        <v>36770</v>
      </c>
      <c r="B10" s="2">
        <v>153.25</v>
      </c>
      <c r="C10" s="2">
        <v>153.59</v>
      </c>
      <c r="D10" s="2">
        <v>142.13</v>
      </c>
      <c r="E10" s="2">
        <v>143.63</v>
      </c>
      <c r="F10" s="2">
        <v>6126800</v>
      </c>
      <c r="G10" s="2">
        <v>117.63</v>
      </c>
      <c r="H10" s="4">
        <v>-5.6359923841251103E-2</v>
      </c>
      <c r="I10" s="4">
        <v>4.5227367183123812E-3</v>
      </c>
      <c r="J10" s="3">
        <f>_xll.EWMA($H$3:H9,1,,1)</f>
        <v>2.7083239835768727E-2</v>
      </c>
    </row>
    <row r="11" spans="1:12" x14ac:dyDescent="0.25">
      <c r="A11" s="1">
        <v>36801</v>
      </c>
      <c r="B11" s="2">
        <v>144.28</v>
      </c>
      <c r="C11" s="2">
        <v>145.75</v>
      </c>
      <c r="D11" s="2">
        <v>130.16</v>
      </c>
      <c r="E11" s="2">
        <v>142.94999999999999</v>
      </c>
      <c r="F11" s="2">
        <v>8461100</v>
      </c>
      <c r="G11" s="2">
        <v>117.07</v>
      </c>
      <c r="H11" s="4">
        <v>-4.7720584807686706E-3</v>
      </c>
      <c r="I11" s="4">
        <v>3.4899816961922636E-3</v>
      </c>
      <c r="J11" s="3">
        <f>_xll.EWMA($H$3:H10,1,,1)</f>
        <v>2.9666112453861589E-2</v>
      </c>
    </row>
    <row r="12" spans="1:12" x14ac:dyDescent="0.25">
      <c r="A12" s="1">
        <v>36831</v>
      </c>
      <c r="B12" s="2">
        <v>142.25</v>
      </c>
      <c r="C12" s="2">
        <v>144.30000000000001</v>
      </c>
      <c r="D12" s="2">
        <v>129.75</v>
      </c>
      <c r="E12" s="2">
        <v>132.28</v>
      </c>
      <c r="F12" s="2">
        <v>7995300</v>
      </c>
      <c r="G12" s="2">
        <v>108.33</v>
      </c>
      <c r="H12" s="4">
        <v>-7.7589922534104794E-2</v>
      </c>
      <c r="I12" s="4">
        <v>-4.6180087268374408E-3</v>
      </c>
      <c r="J12" s="3">
        <f>_xll.EWMA($H$3:H11,1,,1)</f>
        <v>2.8786105797177299E-2</v>
      </c>
    </row>
    <row r="13" spans="1:12" x14ac:dyDescent="0.25">
      <c r="A13" s="1">
        <v>36861</v>
      </c>
      <c r="B13" s="2">
        <v>133.19</v>
      </c>
      <c r="C13" s="2">
        <v>139.56</v>
      </c>
      <c r="D13" s="2">
        <v>125.53</v>
      </c>
      <c r="E13" s="2">
        <v>131.19</v>
      </c>
      <c r="F13" s="2">
        <v>8709500</v>
      </c>
      <c r="G13" s="2">
        <v>107.73</v>
      </c>
      <c r="H13" s="4">
        <v>-5.5540270513754209E-3</v>
      </c>
      <c r="I13" s="4">
        <v>-4.7031013017954388E-3</v>
      </c>
      <c r="J13" s="3">
        <f>_xll.EWMA($H$3:H12,1,,1)</f>
        <v>3.3765859362367943E-2</v>
      </c>
      <c r="K13" s="21"/>
    </row>
    <row r="14" spans="1:12" x14ac:dyDescent="0.25">
      <c r="A14" s="1">
        <v>36893</v>
      </c>
      <c r="B14" s="2">
        <v>132</v>
      </c>
      <c r="C14" s="2">
        <v>138.69999999999999</v>
      </c>
      <c r="D14" s="2">
        <v>127.56</v>
      </c>
      <c r="E14" s="2">
        <v>137.02000000000001</v>
      </c>
      <c r="F14" s="2">
        <v>9095300</v>
      </c>
      <c r="G14" s="2">
        <v>112.52</v>
      </c>
      <c r="H14" s="4">
        <v>4.3502886715555356E-2</v>
      </c>
      <c r="I14" s="4">
        <v>-6.8593563368287303E-4</v>
      </c>
      <c r="J14" s="3">
        <f>_xll.EWMA($H$3:H13,1,,1)</f>
        <v>3.2765471093205767E-2</v>
      </c>
      <c r="K14" s="21">
        <f>STDEV(H3:H14)</f>
        <v>4.8705804858584938E-2</v>
      </c>
      <c r="L14" s="21"/>
    </row>
    <row r="15" spans="1:12" x14ac:dyDescent="0.25">
      <c r="A15" s="1">
        <v>36923</v>
      </c>
      <c r="B15" s="2">
        <v>137.1</v>
      </c>
      <c r="C15" s="2">
        <v>137.99</v>
      </c>
      <c r="D15" s="2">
        <v>121.8</v>
      </c>
      <c r="E15" s="2">
        <v>123.95</v>
      </c>
      <c r="F15" s="2">
        <v>10180600</v>
      </c>
      <c r="G15" s="2">
        <v>101.79</v>
      </c>
      <c r="H15" s="4">
        <v>-0.10021911615740819</v>
      </c>
      <c r="I15" s="4">
        <v>-7.7644482579165182E-3</v>
      </c>
      <c r="J15" s="3">
        <f>_xll.EWMA($H$3:H14,1,,1)</f>
        <v>3.3506888834347291E-2</v>
      </c>
      <c r="K15" s="21">
        <f>STDEV(H4:H15)</f>
        <v>5.6558498679299726E-2</v>
      </c>
    </row>
    <row r="16" spans="1:12" x14ac:dyDescent="0.25">
      <c r="A16" s="1">
        <v>36951</v>
      </c>
      <c r="B16" s="2">
        <v>124.05</v>
      </c>
      <c r="C16" s="2">
        <v>127.75</v>
      </c>
      <c r="D16" s="2">
        <v>108.04</v>
      </c>
      <c r="E16" s="2">
        <v>116.69</v>
      </c>
      <c r="F16" s="2">
        <v>14880400</v>
      </c>
      <c r="G16" s="2">
        <v>96.08</v>
      </c>
      <c r="H16" s="4">
        <v>-5.7730689692520265E-2</v>
      </c>
      <c r="I16" s="4">
        <v>-2.0284960685046073E-2</v>
      </c>
      <c r="J16" s="3">
        <f>_xll.EWMA($H$3:H15,1,,1)</f>
        <v>4.0718315019143338E-2</v>
      </c>
      <c r="K16" s="21">
        <f t="shared" ref="K16:K79" si="0">STDEV(H5:H16)</f>
        <v>4.838003731890067E-2</v>
      </c>
    </row>
    <row r="17" spans="1:24" x14ac:dyDescent="0.25">
      <c r="A17" s="1">
        <v>36983</v>
      </c>
      <c r="B17" s="2">
        <v>116.3</v>
      </c>
      <c r="C17" s="2">
        <v>127.27</v>
      </c>
      <c r="D17" s="2">
        <v>109.3</v>
      </c>
      <c r="E17" s="2">
        <v>126.66</v>
      </c>
      <c r="F17" s="2">
        <v>13130300</v>
      </c>
      <c r="G17" s="2">
        <v>104.29</v>
      </c>
      <c r="H17" s="4">
        <v>8.1994302361393601E-2</v>
      </c>
      <c r="I17" s="4">
        <v>-1.046879560324343E-2</v>
      </c>
      <c r="J17" s="3">
        <f>_xll.EWMA($H$3:H16,1,,1)</f>
        <v>4.1934141928275416E-2</v>
      </c>
      <c r="K17" s="21">
        <f t="shared" si="0"/>
        <v>5.6255071799241718E-2</v>
      </c>
    </row>
    <row r="18" spans="1:24" ht="15.75" thickBot="1" x14ac:dyDescent="0.3">
      <c r="A18" s="1">
        <v>37012</v>
      </c>
      <c r="B18" s="2">
        <v>125.07</v>
      </c>
      <c r="C18" s="2">
        <v>132.09</v>
      </c>
      <c r="D18" s="2">
        <v>123.44</v>
      </c>
      <c r="E18" s="2">
        <v>125.95</v>
      </c>
      <c r="F18" s="2">
        <v>9905100</v>
      </c>
      <c r="G18" s="2">
        <v>103.71</v>
      </c>
      <c r="H18" s="4">
        <v>-5.5769375314786984E-3</v>
      </c>
      <c r="I18" s="4">
        <v>-9.6123398626868379E-3</v>
      </c>
      <c r="J18" s="3">
        <f>_xll.EWMA($H$3:H17,1,,1)</f>
        <v>4.5346971904295874E-2</v>
      </c>
      <c r="K18" s="21">
        <f t="shared" si="0"/>
        <v>5.6243858176882856E-2</v>
      </c>
    </row>
    <row r="19" spans="1:24" ht="15.75" thickBot="1" x14ac:dyDescent="0.3">
      <c r="A19" s="1">
        <v>37043</v>
      </c>
      <c r="B19" s="2">
        <v>126.2</v>
      </c>
      <c r="C19" s="2">
        <v>129.22999999999999</v>
      </c>
      <c r="D19" s="2">
        <v>120.4</v>
      </c>
      <c r="E19" s="2">
        <v>122.6</v>
      </c>
      <c r="F19" s="2">
        <v>10162000</v>
      </c>
      <c r="G19" s="2">
        <v>101.23</v>
      </c>
      <c r="H19" s="4">
        <v>-2.4203386990982345E-2</v>
      </c>
      <c r="I19" s="4">
        <v>-1.3252969984330084E-2</v>
      </c>
      <c r="J19" s="3">
        <f>_xll.EWMA($H$3:H18,1,,1)</f>
        <v>4.3986738037384183E-2</v>
      </c>
      <c r="K19" s="21">
        <f t="shared" si="0"/>
        <v>5.5599483865086737E-2</v>
      </c>
      <c r="M19" s="6" t="s">
        <v>10</v>
      </c>
      <c r="N19" s="7"/>
      <c r="O19" s="7"/>
      <c r="Q19" s="6" t="s">
        <v>20</v>
      </c>
      <c r="R19" s="7"/>
      <c r="S19" s="13"/>
      <c r="T19" s="12">
        <f>0.05</f>
        <v>0.05</v>
      </c>
      <c r="V19" s="15" t="s">
        <v>24</v>
      </c>
      <c r="W19" s="15" t="s">
        <v>25</v>
      </c>
      <c r="X19" s="15" t="s">
        <v>23</v>
      </c>
    </row>
    <row r="20" spans="1:24" x14ac:dyDescent="0.25">
      <c r="A20" s="1">
        <v>37074</v>
      </c>
      <c r="B20" s="2">
        <v>122.8</v>
      </c>
      <c r="C20" s="2">
        <v>124.32</v>
      </c>
      <c r="D20" s="2">
        <v>116.75</v>
      </c>
      <c r="E20" s="2">
        <v>121.35</v>
      </c>
      <c r="F20" s="2">
        <v>9943300</v>
      </c>
      <c r="G20" s="2">
        <v>100.2</v>
      </c>
      <c r="H20" s="4">
        <v>-1.0226966959896444E-2</v>
      </c>
      <c r="I20" s="4">
        <v>-1.2788841663449919E-2</v>
      </c>
      <c r="J20" s="3">
        <f>_xll.EWMA($H$3:H19,1,,1)</f>
        <v>4.3056838856207362E-2</v>
      </c>
      <c r="K20" s="21">
        <f t="shared" si="0"/>
        <v>5.559956736280626E-2</v>
      </c>
      <c r="Q20" s="11" t="s">
        <v>21</v>
      </c>
      <c r="R20" s="11" t="s">
        <v>22</v>
      </c>
      <c r="S20" s="11" t="s">
        <v>23</v>
      </c>
      <c r="V20" s="8" t="s">
        <v>26</v>
      </c>
      <c r="W20" s="9">
        <f>_xll.WNTest(monthly!$H$3:$H$147, 1)</f>
        <v>9.0624055283908156E-2</v>
      </c>
      <c r="X20" s="14" t="b">
        <f>IF($W20 &gt; $T$19, TRUE, FALSE)</f>
        <v>1</v>
      </c>
    </row>
    <row r="21" spans="1:24" x14ac:dyDescent="0.25">
      <c r="A21" s="1">
        <v>37104</v>
      </c>
      <c r="B21" s="2">
        <v>121.97</v>
      </c>
      <c r="C21" s="2">
        <v>123.25</v>
      </c>
      <c r="D21" s="2">
        <v>112.04</v>
      </c>
      <c r="E21" s="2">
        <v>114.15</v>
      </c>
      <c r="F21" s="2">
        <v>12416700</v>
      </c>
      <c r="G21" s="2">
        <v>94.26</v>
      </c>
      <c r="H21" s="4">
        <v>-6.1111267155179227E-2</v>
      </c>
      <c r="I21" s="4">
        <v>-2.3153925609834689E-2</v>
      </c>
      <c r="J21" s="3">
        <f>_xll.EWMA($H$3:H20,1,,1)</f>
        <v>4.1820250371607921E-2</v>
      </c>
      <c r="K21" s="21">
        <f t="shared" si="0"/>
        <v>5.1579911653280283E-2</v>
      </c>
      <c r="N21" s="8" t="s">
        <v>11</v>
      </c>
      <c r="O21" s="9">
        <f>AVERAGE(_xll.RMNA(monthly!$H$3:$H$147))</f>
        <v>1.171242561993263E-3</v>
      </c>
      <c r="Q21" s="14">
        <v>0</v>
      </c>
      <c r="R21" s="9">
        <f>_xll.TEST_MEAN(monthly!$H$3:$H$147,$Q21)</f>
        <v>0.38301361567212977</v>
      </c>
      <c r="S21" s="14" t="b">
        <f>IF($R21 &gt; $T$19/2, FALSE, TRUE)</f>
        <v>0</v>
      </c>
      <c r="V21" s="8" t="s">
        <v>27</v>
      </c>
      <c r="W21" s="9">
        <f>_xll.NormalityTest(monthly!$H$3:$H$147, 1)</f>
        <v>8.7440482097536122E-4</v>
      </c>
      <c r="X21" s="14" t="b">
        <f>IF($W21 &gt; $T$19, TRUE, FALSE)</f>
        <v>0</v>
      </c>
    </row>
    <row r="22" spans="1:24" x14ac:dyDescent="0.25">
      <c r="A22" s="1">
        <v>37138</v>
      </c>
      <c r="B22" s="2">
        <v>113.85</v>
      </c>
      <c r="C22" s="2">
        <v>116.17</v>
      </c>
      <c r="D22" s="2">
        <v>93.8</v>
      </c>
      <c r="E22" s="2">
        <v>104.44</v>
      </c>
      <c r="F22" s="2">
        <v>29389500</v>
      </c>
      <c r="G22" s="2">
        <v>86.56</v>
      </c>
      <c r="H22" s="4">
        <v>-8.5219106397413036E-2</v>
      </c>
      <c r="I22" s="4">
        <v>-2.5558857489514846E-2</v>
      </c>
      <c r="J22" s="3">
        <f>_xll.EWMA($H$3:H21,1,,1)</f>
        <v>4.3221204970176792E-2</v>
      </c>
      <c r="K22" s="21">
        <f t="shared" si="0"/>
        <v>5.3889958692996287E-2</v>
      </c>
      <c r="N22" s="8" t="s">
        <v>12</v>
      </c>
      <c r="O22" s="9">
        <f>STDEV(_xll.RMNA(monthly!$H$3:$H$147))</f>
        <v>4.730563107220196E-2</v>
      </c>
      <c r="Q22" s="14"/>
      <c r="R22" s="9"/>
      <c r="S22" s="14"/>
      <c r="V22" s="8" t="s">
        <v>28</v>
      </c>
      <c r="W22" s="9">
        <f>_xll.ARCHTest(monthly!$H$3:$H$147,1)</f>
        <v>1.0479147289605494E-4</v>
      </c>
      <c r="X22" s="14" t="b">
        <f>IF($W22 &lt; $T$19, TRUE, FALSE)</f>
        <v>1</v>
      </c>
    </row>
    <row r="23" spans="1:24" x14ac:dyDescent="0.25">
      <c r="A23" s="1">
        <v>37165</v>
      </c>
      <c r="B23" s="2">
        <v>103.9</v>
      </c>
      <c r="C23" s="2">
        <v>111.79</v>
      </c>
      <c r="D23" s="2">
        <v>102.83</v>
      </c>
      <c r="E23" s="2">
        <v>105.8</v>
      </c>
      <c r="F23" s="2">
        <v>23510200</v>
      </c>
      <c r="G23" s="2">
        <v>87.69</v>
      </c>
      <c r="H23" s="4">
        <v>1.2970052693092704E-2</v>
      </c>
      <c r="I23" s="4">
        <v>-2.4080348225026395E-2</v>
      </c>
      <c r="J23" s="3">
        <f>_xll.EWMA($H$3:H22,1,,1)</f>
        <v>4.6815873069291462E-2</v>
      </c>
      <c r="K23" s="21">
        <f t="shared" si="0"/>
        <v>5.4748647271249458E-2</v>
      </c>
      <c r="N23" s="8" t="s">
        <v>13</v>
      </c>
      <c r="O23" s="10">
        <f>SKEW(_xll.RMNA(monthly!$H$3:$H$147))</f>
        <v>-0.60811041196148641</v>
      </c>
      <c r="Q23" s="14">
        <v>0</v>
      </c>
      <c r="R23" s="9">
        <f>_xll.TEST_SKEW(monthly!$H$3:$H$147)</f>
        <v>1.5460417849586146E-3</v>
      </c>
      <c r="S23" s="14" t="b">
        <f>IF($R23 &gt; $T$19/2, FALSE, TRUE)</f>
        <v>1</v>
      </c>
    </row>
    <row r="24" spans="1:24" x14ac:dyDescent="0.25">
      <c r="A24" s="1">
        <v>37196</v>
      </c>
      <c r="B24" s="2">
        <v>106.6</v>
      </c>
      <c r="C24" s="2">
        <v>116.9</v>
      </c>
      <c r="D24" s="2">
        <v>105.7</v>
      </c>
      <c r="E24" s="2">
        <v>114.05</v>
      </c>
      <c r="F24" s="2">
        <v>18390200</v>
      </c>
      <c r="G24" s="2">
        <v>94.53</v>
      </c>
      <c r="H24" s="4">
        <v>7.5109376646028458E-2</v>
      </c>
      <c r="I24" s="4">
        <v>-1.1355406626681957E-2</v>
      </c>
      <c r="J24" s="3">
        <f>_xll.EWMA($H$3:H23,1,,1)</f>
        <v>4.5500722510497624E-2</v>
      </c>
      <c r="K24" s="21">
        <f t="shared" si="0"/>
        <v>5.8778316558087414E-2</v>
      </c>
      <c r="N24" s="8" t="s">
        <v>14</v>
      </c>
      <c r="O24" s="10">
        <f>KURT(_xll.RMNA(monthly!$H$3:$H$147))</f>
        <v>1.0151661548482371</v>
      </c>
      <c r="Q24" s="14">
        <v>0</v>
      </c>
      <c r="R24" s="9">
        <f>_xll.TEST_XKURT(monthly!$H$3:$H$147)</f>
        <v>1.0470993109826918E-2</v>
      </c>
      <c r="S24" s="14" t="b">
        <f>IF($R24 &gt; $T$19/2, FALSE, TRUE)</f>
        <v>1</v>
      </c>
    </row>
    <row r="25" spans="1:24" x14ac:dyDescent="0.25">
      <c r="A25" s="1">
        <v>37228</v>
      </c>
      <c r="B25" s="2">
        <v>113.65</v>
      </c>
      <c r="C25" s="2">
        <v>118</v>
      </c>
      <c r="D25" s="2">
        <v>112</v>
      </c>
      <c r="E25" s="2">
        <v>114.3</v>
      </c>
      <c r="F25" s="2">
        <v>16151100</v>
      </c>
      <c r="G25" s="2">
        <v>94.74</v>
      </c>
      <c r="H25" s="4">
        <v>2.2190530583126034E-3</v>
      </c>
      <c r="I25" s="4">
        <v>-1.0707649950874622E-2</v>
      </c>
      <c r="J25" s="3">
        <f>_xll.EWMA($H$3:H24,1,,1)</f>
        <v>4.7797300254804817E-2</v>
      </c>
      <c r="K25" s="21">
        <f t="shared" si="0"/>
        <v>5.8890785170254832E-2</v>
      </c>
      <c r="N25" s="8"/>
      <c r="O25" s="9"/>
    </row>
    <row r="26" spans="1:24" x14ac:dyDescent="0.25">
      <c r="A26" s="1">
        <v>37258</v>
      </c>
      <c r="B26" s="2">
        <v>115.11</v>
      </c>
      <c r="C26" s="2">
        <v>117.99</v>
      </c>
      <c r="D26" s="2">
        <v>108.4</v>
      </c>
      <c r="E26" s="2">
        <v>113.18</v>
      </c>
      <c r="F26" s="2">
        <v>17585200</v>
      </c>
      <c r="G26" s="2">
        <v>93.81</v>
      </c>
      <c r="H26" s="4">
        <v>-9.8648373577461257E-3</v>
      </c>
      <c r="I26" s="4">
        <v>-1.515496029031641E-2</v>
      </c>
      <c r="J26" s="3">
        <f>_xll.EWMA($H$3:H25,1,,1)</f>
        <v>4.634438961446815E-2</v>
      </c>
      <c r="K26" s="21">
        <f t="shared" si="0"/>
        <v>5.638661637948663E-2</v>
      </c>
      <c r="N26" s="8" t="s">
        <v>15</v>
      </c>
      <c r="O26" s="9">
        <f>MEDIAN(_xll.RMNA(monthly!$H$3:$H$147))</f>
        <v>6.8152295244701122E-3</v>
      </c>
    </row>
    <row r="27" spans="1:24" x14ac:dyDescent="0.25">
      <c r="A27" s="1">
        <v>37288</v>
      </c>
      <c r="B27" s="2">
        <v>113.09</v>
      </c>
      <c r="C27" s="2">
        <v>113.3</v>
      </c>
      <c r="D27" s="2">
        <v>107.82</v>
      </c>
      <c r="E27" s="2">
        <v>111.15</v>
      </c>
      <c r="F27" s="2">
        <v>23592000</v>
      </c>
      <c r="G27" s="2">
        <v>92.13</v>
      </c>
      <c r="H27" s="4">
        <v>-1.8070837017019059E-2</v>
      </c>
      <c r="I27" s="4">
        <v>-8.309270361950654E-3</v>
      </c>
      <c r="J27" s="3">
        <f>_xll.EWMA($H$3:H26,1,,1)</f>
        <v>4.4997479960316139E-2</v>
      </c>
      <c r="K27" s="21">
        <f t="shared" si="0"/>
        <v>4.9712066991793126E-2</v>
      </c>
      <c r="N27" s="8" t="s">
        <v>16</v>
      </c>
      <c r="O27" s="9">
        <f>MIN(_xll.RMNA(monthly!$H$3:$H$147))</f>
        <v>-0.18057145272270336</v>
      </c>
    </row>
    <row r="28" spans="1:24" x14ac:dyDescent="0.25">
      <c r="A28" s="1">
        <v>37316</v>
      </c>
      <c r="B28" s="2">
        <v>111.72</v>
      </c>
      <c r="C28" s="2">
        <v>117.9</v>
      </c>
      <c r="D28" s="2">
        <v>111.51</v>
      </c>
      <c r="E28" s="2">
        <v>114.52</v>
      </c>
      <c r="F28" s="2">
        <v>20155500</v>
      </c>
      <c r="G28" s="2">
        <v>95.19</v>
      </c>
      <c r="H28" s="4">
        <v>3.2674271142373534E-2</v>
      </c>
      <c r="I28" s="4">
        <v>-7.7552362570950349E-4</v>
      </c>
      <c r="J28" s="3">
        <f>_xll.EWMA($H$3:H27,1,,1)</f>
        <v>4.3850657003539295E-2</v>
      </c>
      <c r="K28" s="21">
        <f t="shared" si="0"/>
        <v>4.8373801660065177E-2</v>
      </c>
      <c r="N28" s="8" t="s">
        <v>17</v>
      </c>
      <c r="O28" s="9">
        <f>MAX(_xll.RMNA(monthly!$H$3:$H$147))</f>
        <v>0.10357129589432468</v>
      </c>
    </row>
    <row r="29" spans="1:24" x14ac:dyDescent="0.25">
      <c r="A29" s="1">
        <v>37347</v>
      </c>
      <c r="B29" s="2">
        <v>114.23</v>
      </c>
      <c r="C29" s="2">
        <v>115.1</v>
      </c>
      <c r="D29" s="2">
        <v>106.63</v>
      </c>
      <c r="E29" s="2">
        <v>107.86</v>
      </c>
      <c r="F29" s="2">
        <v>19269700</v>
      </c>
      <c r="G29" s="2">
        <v>89.65</v>
      </c>
      <c r="H29" s="4">
        <v>-5.9961694212072203E-2</v>
      </c>
      <c r="I29" s="4">
        <v>-1.2605190006831656E-2</v>
      </c>
      <c r="J29" s="3">
        <f>_xll.EWMA($H$3:H28,1,,1)</f>
        <v>4.3261574083066454E-2</v>
      </c>
      <c r="K29" s="21">
        <f t="shared" si="0"/>
        <v>4.3393692641798286E-2</v>
      </c>
      <c r="N29" s="8" t="s">
        <v>18</v>
      </c>
      <c r="O29" s="9">
        <f>QUARTILE(_xll.RMNA(monthly!$H$3:$H$147),1)</f>
        <v>-1.9437442256811543E-2</v>
      </c>
    </row>
    <row r="30" spans="1:24" x14ac:dyDescent="0.25">
      <c r="A30" s="1">
        <v>37377</v>
      </c>
      <c r="B30" s="2">
        <v>107.97</v>
      </c>
      <c r="C30" s="2">
        <v>111.25</v>
      </c>
      <c r="D30" s="2">
        <v>104.9</v>
      </c>
      <c r="E30" s="2">
        <v>107.22</v>
      </c>
      <c r="F30" s="2">
        <v>21475100</v>
      </c>
      <c r="G30" s="2">
        <v>89.12</v>
      </c>
      <c r="H30" s="4">
        <v>-5.9294238721676606E-3</v>
      </c>
      <c r="I30" s="4">
        <v>-1.2634563868555734E-2</v>
      </c>
      <c r="J30" s="3">
        <f>_xll.EWMA($H$3:H29,1,,1)</f>
        <v>4.4440907405034966E-2</v>
      </c>
      <c r="K30" s="21">
        <f t="shared" si="0"/>
        <v>4.3388621611433656E-2</v>
      </c>
      <c r="N30" s="8" t="s">
        <v>19</v>
      </c>
      <c r="O30" s="9">
        <f>QUARTILE(_xll.RMNA(monthly!$H$3:$H$147),3)</f>
        <v>3.0707294105858374E-2</v>
      </c>
    </row>
    <row r="31" spans="1:24" x14ac:dyDescent="0.25">
      <c r="A31" s="1">
        <v>37410</v>
      </c>
      <c r="B31" s="2">
        <v>107.09</v>
      </c>
      <c r="C31" s="2">
        <v>107.6</v>
      </c>
      <c r="D31" s="2">
        <v>95.19</v>
      </c>
      <c r="E31" s="2">
        <v>98.96</v>
      </c>
      <c r="F31" s="2">
        <v>28153300</v>
      </c>
      <c r="G31" s="2">
        <v>82.54</v>
      </c>
      <c r="H31" s="4">
        <v>-7.6700751854538396E-2</v>
      </c>
      <c r="I31" s="4">
        <v>-1.7009344273852072E-2</v>
      </c>
      <c r="J31" s="3">
        <f>_xll.EWMA($H$3:H30,1,,1)</f>
        <v>4.3111530707819548E-2</v>
      </c>
      <c r="K31" s="21">
        <f t="shared" si="0"/>
        <v>4.7145106436718175E-2</v>
      </c>
    </row>
    <row r="32" spans="1:24" x14ac:dyDescent="0.25">
      <c r="A32" s="1">
        <v>37438</v>
      </c>
      <c r="B32" s="2">
        <v>99.18</v>
      </c>
      <c r="C32" s="2">
        <v>99.8</v>
      </c>
      <c r="D32" s="2">
        <v>77.680000000000007</v>
      </c>
      <c r="E32" s="2">
        <v>91.16</v>
      </c>
      <c r="F32" s="2">
        <v>53132600</v>
      </c>
      <c r="G32" s="2">
        <v>76.040000000000006</v>
      </c>
      <c r="H32" s="4">
        <v>-8.2023506704206994E-2</v>
      </c>
      <c r="I32" s="4">
        <v>-2.2992389252544616E-2</v>
      </c>
      <c r="J32" s="3">
        <f>_xll.EWMA($H$3:H31,1,,1)</f>
        <v>4.582650057855258E-2</v>
      </c>
      <c r="K32" s="21">
        <f t="shared" si="0"/>
        <v>5.0632858912434395E-2</v>
      </c>
    </row>
    <row r="33" spans="1:19" ht="15.75" thickBot="1" x14ac:dyDescent="0.3">
      <c r="A33" s="1">
        <v>37469</v>
      </c>
      <c r="B33" s="2">
        <v>90.88</v>
      </c>
      <c r="C33" s="2">
        <v>97.15</v>
      </c>
      <c r="D33" s="2">
        <v>83.55</v>
      </c>
      <c r="E33" s="2">
        <v>91.78</v>
      </c>
      <c r="F33" s="2">
        <v>43934400</v>
      </c>
      <c r="G33" s="2">
        <v>76.56</v>
      </c>
      <c r="H33" s="4">
        <v>6.8152295244701122E-3</v>
      </c>
      <c r="I33" s="4">
        <v>-1.7331847862573836E-2</v>
      </c>
      <c r="J33" s="3">
        <f>_xll.EWMA($H$3:H32,1,,1)</f>
        <v>4.8762028311820881E-2</v>
      </c>
      <c r="K33" s="21">
        <f t="shared" si="0"/>
        <v>4.9773573635359745E-2</v>
      </c>
      <c r="M33" s="5" t="s">
        <v>29</v>
      </c>
    </row>
    <row r="34" spans="1:19" ht="15.75" thickBot="1" x14ac:dyDescent="0.3">
      <c r="A34" s="1">
        <v>37502</v>
      </c>
      <c r="B34" s="2">
        <v>90.73</v>
      </c>
      <c r="C34" s="2">
        <v>93.33</v>
      </c>
      <c r="D34" s="2">
        <v>80.900000000000006</v>
      </c>
      <c r="E34" s="2">
        <v>81.790000000000006</v>
      </c>
      <c r="F34" s="2">
        <v>54346200</v>
      </c>
      <c r="G34" s="2">
        <v>68.53</v>
      </c>
      <c r="H34" s="4">
        <v>-0.1108031415469668</v>
      </c>
      <c r="I34" s="4">
        <v>-1.9463850791703319E-2</v>
      </c>
      <c r="J34" s="3">
        <f>_xll.EWMA($H$3:H33,1,,1)</f>
        <v>4.7306005136622184E-2</v>
      </c>
      <c r="K34" s="21">
        <f t="shared" si="0"/>
        <v>5.3364230947296615E-2</v>
      </c>
      <c r="M34" s="15" t="s">
        <v>30</v>
      </c>
      <c r="N34" s="15" t="s">
        <v>31</v>
      </c>
      <c r="O34" s="15" t="s">
        <v>32</v>
      </c>
      <c r="P34" s="15" t="s">
        <v>33</v>
      </c>
      <c r="Q34" s="15" t="s">
        <v>34</v>
      </c>
      <c r="R34" s="15" t="s">
        <v>32</v>
      </c>
      <c r="S34" s="15" t="s">
        <v>33</v>
      </c>
    </row>
    <row r="35" spans="1:19" x14ac:dyDescent="0.25">
      <c r="A35" s="1">
        <v>37530</v>
      </c>
      <c r="B35" s="2">
        <v>82.43</v>
      </c>
      <c r="C35" s="2">
        <v>91.29</v>
      </c>
      <c r="D35" s="2">
        <v>77.069999999999993</v>
      </c>
      <c r="E35" s="2">
        <v>88.52</v>
      </c>
      <c r="F35" s="2">
        <v>60255100</v>
      </c>
      <c r="G35" s="2">
        <v>74.17</v>
      </c>
      <c r="H35" s="4">
        <v>7.9088150150735004E-2</v>
      </c>
      <c r="I35" s="4">
        <v>-1.3954009336899793E-2</v>
      </c>
      <c r="J35" s="3">
        <f>_xll.EWMA($H$3:H34,1,,1)</f>
        <v>5.3293778297917545E-2</v>
      </c>
      <c r="K35" s="21">
        <f t="shared" si="0"/>
        <v>6.001620322938022E-2</v>
      </c>
      <c r="M35" s="11">
        <v>1</v>
      </c>
      <c r="N35" s="16">
        <f>_xll.ACF(monthly!$H$3:$H$147,1,$M35)</f>
        <v>0.14141029409271746</v>
      </c>
      <c r="O35" s="16">
        <f>_xll.ACFCI(monthly!$H$3:$H$147,1,$M35,0.05,1)</f>
        <v>0.16276614959217695</v>
      </c>
      <c r="P35" s="16">
        <f>_xll.ACFCI(monthly!$H$3:$H$147,1,$M35,0.05,0)</f>
        <v>-0.16276614959217695</v>
      </c>
      <c r="Q35" s="16">
        <f>_xll.PACF(monthly!$H$3:$H$147,1,$M35)</f>
        <v>0.14163998694536914</v>
      </c>
      <c r="R35" s="16">
        <f>_xll.PACFCI(monthly!$H$3:$H$147,1,$M35,0.05,1)</f>
        <v>0.16276614959217695</v>
      </c>
      <c r="S35" s="16">
        <f>_xll.PACFCI(monthly!$H$3:$H$147,1,$M35,0.05,0)</f>
        <v>-0.16276614959217695</v>
      </c>
    </row>
    <row r="36" spans="1:19" x14ac:dyDescent="0.25">
      <c r="A36" s="1">
        <v>37561</v>
      </c>
      <c r="B36" s="2">
        <v>88.35</v>
      </c>
      <c r="C36" s="2">
        <v>94.95</v>
      </c>
      <c r="D36" s="2">
        <v>87.45</v>
      </c>
      <c r="E36" s="2">
        <v>93.98</v>
      </c>
      <c r="F36" s="2">
        <v>41881400</v>
      </c>
      <c r="G36" s="2">
        <v>78.739999999999995</v>
      </c>
      <c r="H36" s="4">
        <v>5.9791529767124096E-2</v>
      </c>
      <c r="I36" s="4">
        <v>-1.5230496576808488E-2</v>
      </c>
      <c r="J36" s="3">
        <f>_xll.EWMA($H$3:H35,1,,1)</f>
        <v>5.5182509245298404E-2</v>
      </c>
      <c r="K36" s="21">
        <f t="shared" si="0"/>
        <v>5.8081413025705263E-2</v>
      </c>
      <c r="M36" s="11">
        <v>2</v>
      </c>
      <c r="N36" s="16">
        <f>_xll.ACF(monthly!$H$3:$H$147,1,$M36)</f>
        <v>-4.6347237640054544E-2</v>
      </c>
      <c r="O36" s="16">
        <f>_xll.ACFCI(monthly!$H$3:$H$147,1,$M36,0.05,1)</f>
        <v>0.16276614959217695</v>
      </c>
      <c r="P36" s="16">
        <f>_xll.ACFCI(monthly!$H$3:$H$147,1,$M36,0.05,0)</f>
        <v>-0.16276614959217695</v>
      </c>
      <c r="Q36" s="16">
        <f>_xll.PACF(monthly!$H$3:$H$147,1,$M36)</f>
        <v>-6.8552453367663413E-2</v>
      </c>
      <c r="R36" s="16">
        <f>_xll.PACFCI(monthly!$H$3:$H$147,1,$M36,0.05,1)</f>
        <v>0.16276614959217695</v>
      </c>
      <c r="S36" s="16">
        <f>_xll.PACFCI(monthly!$H$3:$H$147,1,$M36,0.05,0)</f>
        <v>-0.16276614959217695</v>
      </c>
    </row>
    <row r="37" spans="1:19" x14ac:dyDescent="0.25">
      <c r="A37" s="1">
        <v>37592</v>
      </c>
      <c r="B37" s="2">
        <v>95.47</v>
      </c>
      <c r="C37" s="2">
        <v>96.05</v>
      </c>
      <c r="D37" s="2">
        <v>87.11</v>
      </c>
      <c r="E37" s="2">
        <v>88.23</v>
      </c>
      <c r="F37" s="2">
        <v>36301000</v>
      </c>
      <c r="G37" s="2">
        <v>74.290000000000006</v>
      </c>
      <c r="H37" s="4">
        <v>-5.8174932351875874E-2</v>
      </c>
      <c r="I37" s="4">
        <v>-2.0263328694324199E-2</v>
      </c>
      <c r="J37" s="3">
        <f>_xll.EWMA($H$3:H36,1,,1)</f>
        <v>5.5469851170925011E-2</v>
      </c>
      <c r="K37" s="21">
        <f t="shared" si="0"/>
        <v>5.9040618469430442E-2</v>
      </c>
      <c r="M37" s="11">
        <v>3</v>
      </c>
      <c r="N37" s="16">
        <f>_xll.ACF(monthly!$H$3:$H$147,1,$M37)</f>
        <v>0.14651814387162668</v>
      </c>
      <c r="O37" s="16">
        <f>_xll.ACFCI(monthly!$H$3:$H$147,1,$M37,0.05,1)</f>
        <v>0.16598905522266508</v>
      </c>
      <c r="P37" s="16">
        <f>_xll.ACFCI(monthly!$H$3:$H$147,1,$M37,0.05,0)</f>
        <v>-0.16598905522266508</v>
      </c>
      <c r="Q37" s="16">
        <f>_xll.PACF(monthly!$H$3:$H$147,1,$M37)</f>
        <v>0.16999964060027303</v>
      </c>
      <c r="R37" s="16">
        <f>_xll.PACFCI(monthly!$H$3:$H$147,1,$M37,0.05,1)</f>
        <v>0.16276614959217695</v>
      </c>
      <c r="S37" s="16">
        <f>_xll.PACFCI(monthly!$H$3:$H$147,1,$M37,0.05,0)</f>
        <v>-0.16276614959217695</v>
      </c>
    </row>
    <row r="38" spans="1:19" x14ac:dyDescent="0.25">
      <c r="A38" s="1">
        <v>37623</v>
      </c>
      <c r="B38" s="2">
        <v>88.85</v>
      </c>
      <c r="C38" s="2">
        <v>93.86</v>
      </c>
      <c r="D38" s="2">
        <v>84.15</v>
      </c>
      <c r="E38" s="2">
        <v>86.06</v>
      </c>
      <c r="F38" s="2">
        <v>46030300</v>
      </c>
      <c r="G38" s="2">
        <v>72.459999999999994</v>
      </c>
      <c r="H38" s="4">
        <v>-2.4941667696784187E-2</v>
      </c>
      <c r="I38" s="4">
        <v>-2.1519731222577367E-2</v>
      </c>
      <c r="J38" s="3">
        <f>_xll.EWMA($H$3:H37,1,,1)</f>
        <v>5.5635865148641453E-2</v>
      </c>
      <c r="K38" s="21">
        <f t="shared" si="0"/>
        <v>5.8959582911262499E-2</v>
      </c>
      <c r="M38" s="11">
        <v>4</v>
      </c>
      <c r="N38" s="16">
        <f>_xll.ACF(monthly!$H$3:$H$147,1,$M38)</f>
        <v>0.10039397054435709</v>
      </c>
      <c r="O38" s="16">
        <f>_xll.ACFCI(monthly!$H$3:$H$147,1,$M38,0.05,1)</f>
        <v>0.16633154579418477</v>
      </c>
      <c r="P38" s="16">
        <f>_xll.ACFCI(monthly!$H$3:$H$147,1,$M38,0.05,0)</f>
        <v>-0.16633154579418477</v>
      </c>
      <c r="Q38" s="16">
        <f>_xll.PACF(monthly!$H$3:$H$147,1,$M38)</f>
        <v>4.8311867130441902E-2</v>
      </c>
      <c r="R38" s="16">
        <f>_xll.PACFCI(monthly!$H$3:$H$147,1,$M38,0.05,1)</f>
        <v>0.16276614959217695</v>
      </c>
      <c r="S38" s="16">
        <f>_xll.PACFCI(monthly!$H$3:$H$147,1,$M38,0.05,0)</f>
        <v>-0.16276614959217695</v>
      </c>
    </row>
    <row r="39" spans="1:19" x14ac:dyDescent="0.25">
      <c r="A39" s="1">
        <v>37655</v>
      </c>
      <c r="B39" s="2">
        <v>86.14</v>
      </c>
      <c r="C39" s="2">
        <v>86.81</v>
      </c>
      <c r="D39" s="2">
        <v>81</v>
      </c>
      <c r="E39" s="2">
        <v>84.9</v>
      </c>
      <c r="F39" s="2">
        <v>47679700</v>
      </c>
      <c r="G39" s="2">
        <v>71.48</v>
      </c>
      <c r="H39" s="4">
        <v>-1.3616995175703472E-2</v>
      </c>
      <c r="I39" s="4">
        <v>-2.1148577735801071E-2</v>
      </c>
      <c r="J39" s="3">
        <f>_xll.EWMA($H$3:H38,1,,1)</f>
        <v>5.4285852011710711E-2</v>
      </c>
      <c r="K39" s="21">
        <f t="shared" si="0"/>
        <v>5.8997274123954141E-2</v>
      </c>
      <c r="M39" s="11">
        <v>5</v>
      </c>
      <c r="N39" s="16">
        <f>_xll.ACF(monthly!$H$3:$H$147,1,$M39)</f>
        <v>1.1544320457959787E-2</v>
      </c>
      <c r="O39" s="16">
        <f>_xll.ACFCI(monthly!$H$3:$H$147,1,$M39,0.05,1)</f>
        <v>0.16971639830074042</v>
      </c>
      <c r="P39" s="16">
        <f>_xll.ACFCI(monthly!$H$3:$H$147,1,$M39,0.05,0)</f>
        <v>-0.16971639830074042</v>
      </c>
      <c r="Q39" s="16">
        <f>_xll.PACF(monthly!$H$3:$H$147,1,$M39)</f>
        <v>9.6005722924557488E-3</v>
      </c>
      <c r="R39" s="16">
        <f>_xll.PACFCI(monthly!$H$3:$H$147,1,$M39,0.05,1)</f>
        <v>0.16276614959217695</v>
      </c>
      <c r="S39" s="16">
        <f>_xll.PACFCI(monthly!$H$3:$H$147,1,$M39,0.05,0)</f>
        <v>-0.16276614959217695</v>
      </c>
    </row>
    <row r="40" spans="1:19" x14ac:dyDescent="0.25">
      <c r="A40" s="1">
        <v>37683</v>
      </c>
      <c r="B40" s="2">
        <v>85.26</v>
      </c>
      <c r="C40" s="2">
        <v>89.88</v>
      </c>
      <c r="D40" s="2">
        <v>79.38</v>
      </c>
      <c r="E40" s="2">
        <v>84.74</v>
      </c>
      <c r="F40" s="2">
        <v>57999500</v>
      </c>
      <c r="G40" s="2">
        <v>71.64</v>
      </c>
      <c r="H40" s="4">
        <v>2.2358869012837346E-3</v>
      </c>
      <c r="I40" s="4">
        <v>-2.368510975589188E-2</v>
      </c>
      <c r="J40" s="3">
        <f>_xll.EWMA($H$3:H39,1,,1)</f>
        <v>5.2737670202389696E-2</v>
      </c>
      <c r="K40" s="21">
        <f t="shared" si="0"/>
        <v>5.7096559427755815E-2</v>
      </c>
      <c r="M40" s="11">
        <v>6</v>
      </c>
      <c r="N40" s="16">
        <f>_xll.ACF(monthly!$H$3:$H$147,1,$M40)</f>
        <v>-0.11501703187912526</v>
      </c>
      <c r="O40" s="16">
        <f>_xll.ACFCI(monthly!$H$3:$H$147,1,$M40,0.05,1)</f>
        <v>0.17128250179596935</v>
      </c>
      <c r="P40" s="16">
        <f>_xll.ACFCI(monthly!$H$3:$H$147,1,$M40,0.05,0)</f>
        <v>-0.17128250179596935</v>
      </c>
      <c r="Q40" s="16">
        <f>_xll.PACF(monthly!$H$3:$H$147,1,$M40)</f>
        <v>-0.14529485685305649</v>
      </c>
      <c r="R40" s="16">
        <f>_xll.PACFCI(monthly!$H$3:$H$147,1,$M40,0.05,1)</f>
        <v>0.16276614959217695</v>
      </c>
      <c r="S40" s="16">
        <f>_xll.PACFCI(monthly!$H$3:$H$147,1,$M40,0.05,0)</f>
        <v>-0.16276614959217695</v>
      </c>
    </row>
    <row r="41" spans="1:19" x14ac:dyDescent="0.25">
      <c r="A41" s="1">
        <v>37712</v>
      </c>
      <c r="B41" s="2">
        <v>85.25</v>
      </c>
      <c r="C41" s="2">
        <v>92.8</v>
      </c>
      <c r="D41" s="2">
        <v>84.91</v>
      </c>
      <c r="E41" s="2">
        <v>91.91</v>
      </c>
      <c r="F41" s="2">
        <v>49753400</v>
      </c>
      <c r="G41" s="2">
        <v>77.7</v>
      </c>
      <c r="H41" s="4">
        <v>8.1201680181090197E-2</v>
      </c>
      <c r="I41" s="4">
        <v>-1.1921495223128353E-2</v>
      </c>
      <c r="J41" s="3">
        <f>_xll.EWMA($H$3:H40,1,,1)</f>
        <v>5.1134001391320634E-2</v>
      </c>
      <c r="K41" s="21">
        <f t="shared" si="0"/>
        <v>6.3162736917737591E-2</v>
      </c>
      <c r="M41" s="11">
        <v>7</v>
      </c>
      <c r="N41" s="16">
        <f>_xll.ACF(monthly!$H$3:$H$147,1,$M41)</f>
        <v>3.0098428344521682E-2</v>
      </c>
      <c r="O41" s="16">
        <f>_xll.ACFCI(monthly!$H$3:$H$147,1,$M41,0.05,1)</f>
        <v>0.17130311406483653</v>
      </c>
      <c r="P41" s="16">
        <f>_xll.ACFCI(monthly!$H$3:$H$147,1,$M41,0.05,0)</f>
        <v>-0.17130311406483653</v>
      </c>
      <c r="Q41" s="16">
        <f>_xll.PACF(monthly!$H$3:$H$147,1,$M41)</f>
        <v>5.51638274758161E-2</v>
      </c>
      <c r="R41" s="16">
        <f>_xll.PACFCI(monthly!$H$3:$H$147,1,$M41,0.05,1)</f>
        <v>0.16276614959217695</v>
      </c>
      <c r="S41" s="16">
        <f>_xll.PACFCI(monthly!$H$3:$H$147,1,$M41,0.05,0)</f>
        <v>-0.16276614959217695</v>
      </c>
    </row>
    <row r="42" spans="1:19" x14ac:dyDescent="0.25">
      <c r="A42" s="1">
        <v>37742</v>
      </c>
      <c r="B42" s="2">
        <v>91.92</v>
      </c>
      <c r="C42" s="2">
        <v>97.09</v>
      </c>
      <c r="D42" s="2">
        <v>90.5</v>
      </c>
      <c r="E42" s="2">
        <v>96.95</v>
      </c>
      <c r="F42" s="2">
        <v>44478000</v>
      </c>
      <c r="G42" s="2">
        <v>81.96</v>
      </c>
      <c r="H42" s="4">
        <v>5.3376065997097655E-2</v>
      </c>
      <c r="I42" s="4">
        <v>-6.9793710673562454E-3</v>
      </c>
      <c r="J42" s="3">
        <f>_xll.EWMA($H$3:H41,1,,1)</f>
        <v>5.3417485004858184E-2</v>
      </c>
      <c r="K42" s="21">
        <f t="shared" si="0"/>
        <v>6.5933586538765743E-2</v>
      </c>
      <c r="M42" s="11">
        <v>8</v>
      </c>
      <c r="N42" s="16">
        <f>_xll.ACF(monthly!$H$3:$H$147,1,$M42)</f>
        <v>1.0924562782685008E-2</v>
      </c>
      <c r="O42" s="16">
        <f>_xll.ACFCI(monthly!$H$3:$H$147,1,$M42,0.05,1)</f>
        <v>0.17333695376509767</v>
      </c>
      <c r="P42" s="16">
        <f>_xll.ACFCI(monthly!$H$3:$H$147,1,$M42,0.05,0)</f>
        <v>-0.17333695376509767</v>
      </c>
      <c r="Q42" s="16">
        <f>_xll.PACF(monthly!$H$3:$H$147,1,$M42)</f>
        <v>-3.1742968790229489E-2</v>
      </c>
      <c r="R42" s="16">
        <f>_xll.PACFCI(monthly!$H$3:$H$147,1,$M42,0.05,1)</f>
        <v>0.16276614959217695</v>
      </c>
      <c r="S42" s="16">
        <f>_xll.PACFCI(monthly!$H$3:$H$147,1,$M42,0.05,0)</f>
        <v>-0.16276614959217695</v>
      </c>
    </row>
    <row r="43" spans="1:19" x14ac:dyDescent="0.25">
      <c r="A43" s="1">
        <v>37774</v>
      </c>
      <c r="B43" s="2">
        <v>97.53</v>
      </c>
      <c r="C43" s="2">
        <v>102.18</v>
      </c>
      <c r="D43" s="2">
        <v>96.67</v>
      </c>
      <c r="E43" s="2">
        <v>97.63</v>
      </c>
      <c r="F43" s="2">
        <v>42919900</v>
      </c>
      <c r="G43" s="2">
        <v>82.83</v>
      </c>
      <c r="H43" s="4">
        <v>1.0558991239473237E-2</v>
      </c>
      <c r="I43" s="4">
        <v>2.9227419047805523E-4</v>
      </c>
      <c r="J43" s="3">
        <f>_xll.EWMA($H$3:H42,1,,1)</f>
        <v>5.3415000770094409E-2</v>
      </c>
      <c r="K43" s="21">
        <f t="shared" si="0"/>
        <v>6.225432988882925E-2</v>
      </c>
      <c r="M43" s="11">
        <v>9</v>
      </c>
      <c r="N43" s="16">
        <f>_xll.ACF(monthly!$H$3:$H$147,1,$M43)</f>
        <v>-0.10050119740795981</v>
      </c>
      <c r="O43" s="16">
        <f>_xll.ACFCI(monthly!$H$3:$H$147,1,$M43,0.05,1)</f>
        <v>0.17347535861393865</v>
      </c>
      <c r="P43" s="16">
        <f>_xll.ACFCI(monthly!$H$3:$H$147,1,$M43,0.05,0)</f>
        <v>-0.17347535861393865</v>
      </c>
      <c r="Q43" s="16">
        <f>_xll.PACF(monthly!$H$3:$H$147,1,$M43)</f>
        <v>-6.7552599917995254E-2</v>
      </c>
      <c r="R43" s="16">
        <f>_xll.PACFCI(monthly!$H$3:$H$147,1,$M43,0.05,1)</f>
        <v>0.16276614959217695</v>
      </c>
      <c r="S43" s="16">
        <f>_xll.PACFCI(monthly!$H$3:$H$147,1,$M43,0.05,0)</f>
        <v>-0.16276614959217695</v>
      </c>
    </row>
    <row r="44" spans="1:19" x14ac:dyDescent="0.25">
      <c r="A44" s="1">
        <v>37803</v>
      </c>
      <c r="B44" s="2">
        <v>97.25</v>
      </c>
      <c r="C44" s="2">
        <v>101.9</v>
      </c>
      <c r="D44" s="2">
        <v>96.43</v>
      </c>
      <c r="E44" s="2">
        <v>99.39</v>
      </c>
      <c r="F44" s="2">
        <v>43190800</v>
      </c>
      <c r="G44" s="2">
        <v>84.33</v>
      </c>
      <c r="H44" s="4">
        <v>1.7947358976377892E-2</v>
      </c>
      <c r="I44" s="4">
        <v>8.6231796638601317E-3</v>
      </c>
      <c r="J44" s="3">
        <f>_xll.EWMA($H$3:H43,1,,1)</f>
        <v>5.1852310523184508E-2</v>
      </c>
      <c r="K44" s="21">
        <f t="shared" si="0"/>
        <v>5.667658157667893E-2</v>
      </c>
      <c r="M44" s="11">
        <v>10</v>
      </c>
      <c r="N44" s="16">
        <f>_xll.ACF(monthly!$H$3:$H$147,1,$M44)</f>
        <v>-3.6603456435001895E-2</v>
      </c>
      <c r="O44" s="16">
        <f>_xll.ACFCI(monthly!$H$3:$H$147,1,$M44,0.05,1)</f>
        <v>0.17349358395661235</v>
      </c>
      <c r="P44" s="16">
        <f>_xll.ACFCI(monthly!$H$3:$H$147,1,$M44,0.05,0)</f>
        <v>-0.17349358395661235</v>
      </c>
      <c r="Q44" s="16">
        <f>_xll.PACF(monthly!$H$3:$H$147,1,$M44)</f>
        <v>1.4242114071354639E-3</v>
      </c>
      <c r="R44" s="16">
        <f>_xll.PACFCI(monthly!$H$3:$H$147,1,$M44,0.05,1)</f>
        <v>0.16276614959217695</v>
      </c>
      <c r="S44" s="16">
        <f>_xll.PACFCI(monthly!$H$3:$H$147,1,$M44,0.05,0)</f>
        <v>-0.16276614959217695</v>
      </c>
    </row>
    <row r="45" spans="1:19" x14ac:dyDescent="0.25">
      <c r="A45" s="1">
        <v>37834</v>
      </c>
      <c r="B45" s="2">
        <v>99.19</v>
      </c>
      <c r="C45" s="2">
        <v>101.82</v>
      </c>
      <c r="D45" s="2">
        <v>96.34</v>
      </c>
      <c r="E45" s="2">
        <v>101.44</v>
      </c>
      <c r="F45" s="2">
        <v>38162300</v>
      </c>
      <c r="G45" s="2">
        <v>86.06</v>
      </c>
      <c r="H45" s="4">
        <v>2.0307053823903409E-2</v>
      </c>
      <c r="I45" s="4">
        <v>9.7474983554795731E-3</v>
      </c>
      <c r="J45" s="3">
        <f>_xll.EWMA($H$3:H44,1,,1)</f>
        <v>5.0464530532353155E-2</v>
      </c>
      <c r="K45" s="21">
        <f t="shared" si="0"/>
        <v>5.6771198694115912E-2</v>
      </c>
      <c r="M45" s="11">
        <v>11</v>
      </c>
      <c r="N45" s="16">
        <f>_xll.ACF(monthly!$H$3:$H$147,1,$M45)</f>
        <v>3.6056653909454894E-2</v>
      </c>
      <c r="O45" s="16">
        <f>_xll.ACFCI(monthly!$H$3:$H$147,1,$M45,0.05,1)</f>
        <v>0.17502915364612334</v>
      </c>
      <c r="P45" s="16">
        <f>_xll.ACFCI(monthly!$H$3:$H$147,1,$M45,0.05,0)</f>
        <v>-0.17502915364612334</v>
      </c>
      <c r="Q45" s="16">
        <f>_xll.PACF(monthly!$H$3:$H$147,1,$M45)</f>
        <v>3.0283975049225146E-2</v>
      </c>
      <c r="R45" s="16">
        <f>_xll.PACFCI(monthly!$H$3:$H$147,1,$M45,0.05,1)</f>
        <v>0.16276614959217695</v>
      </c>
      <c r="S45" s="16">
        <f>_xll.PACFCI(monthly!$H$3:$H$147,1,$M45,0.05,0)</f>
        <v>-0.16276614959217695</v>
      </c>
    </row>
    <row r="46" spans="1:19" x14ac:dyDescent="0.25">
      <c r="A46" s="1">
        <v>37866</v>
      </c>
      <c r="B46" s="2">
        <v>101.64</v>
      </c>
      <c r="C46" s="2">
        <v>104.7</v>
      </c>
      <c r="D46" s="2">
        <v>99.25</v>
      </c>
      <c r="E46" s="2">
        <v>99.95</v>
      </c>
      <c r="F46" s="2">
        <v>42346500</v>
      </c>
      <c r="G46" s="2">
        <v>85.13</v>
      </c>
      <c r="H46" s="4">
        <v>-1.0865227514488041E-2</v>
      </c>
      <c r="I46" s="4">
        <v>1.8075657858186139E-2</v>
      </c>
      <c r="J46" s="3">
        <f>_xll.EWMA($H$3:H45,1,,1)</f>
        <v>4.9179378782576853E-2</v>
      </c>
      <c r="K46" s="21">
        <f t="shared" si="0"/>
        <v>4.3183317287314414E-2</v>
      </c>
      <c r="M46" s="11">
        <v>12</v>
      </c>
      <c r="N46" s="16">
        <f>_xll.ACF(monthly!$H$3:$H$147,1,$M46)</f>
        <v>5.4242437277989448E-2</v>
      </c>
      <c r="O46" s="16">
        <f>_xll.ACFCI(monthly!$H$3:$H$147,1,$M46,0.05,1)</f>
        <v>0.17523183350954261</v>
      </c>
      <c r="P46" s="16">
        <f>_xll.ACFCI(monthly!$H$3:$H$147,1,$M46,0.05,0)</f>
        <v>-0.17523183350954261</v>
      </c>
      <c r="Q46" s="16">
        <f>_xll.PACF(monthly!$H$3:$H$147,1,$M46)</f>
        <v>6.1540276032486553E-2</v>
      </c>
      <c r="R46" s="16">
        <f>_xll.PACFCI(monthly!$H$3:$H$147,1,$M46,0.05,1)</f>
        <v>0.16276614959217695</v>
      </c>
      <c r="S46" s="16">
        <f>_xll.PACFCI(monthly!$H$3:$H$147,1,$M46,0.05,0)</f>
        <v>-0.16276614959217695</v>
      </c>
    </row>
    <row r="47" spans="1:19" x14ac:dyDescent="0.25">
      <c r="A47" s="1">
        <v>37895</v>
      </c>
      <c r="B47" s="2">
        <v>100.24</v>
      </c>
      <c r="C47" s="2">
        <v>105.97</v>
      </c>
      <c r="D47" s="2">
        <v>100.2</v>
      </c>
      <c r="E47" s="2">
        <v>105.3</v>
      </c>
      <c r="F47" s="2">
        <v>37280900</v>
      </c>
      <c r="G47" s="2">
        <v>89.68</v>
      </c>
      <c r="H47" s="4">
        <v>5.2068278867938744E-2</v>
      </c>
      <c r="I47" s="4">
        <v>1.5824001917953114E-2</v>
      </c>
      <c r="J47" s="3">
        <f>_xll.EWMA($H$3:H46,1,,1)</f>
        <v>4.7755395608561922E-2</v>
      </c>
      <c r="K47" s="21">
        <f t="shared" si="0"/>
        <v>4.0322475601525312E-2</v>
      </c>
      <c r="M47" s="11">
        <v>13</v>
      </c>
      <c r="N47" s="16">
        <f>_xll.ACF(monthly!$H$3:$H$147,1,$M47)</f>
        <v>-5.8414452516415791E-2</v>
      </c>
      <c r="O47" s="16">
        <f>_xll.ACFCI(monthly!$H$3:$H$147,1,$M47,0.05,1)</f>
        <v>0.17542827926518287</v>
      </c>
      <c r="P47" s="16">
        <f>_xll.ACFCI(monthly!$H$3:$H$147,1,$M47,0.05,0)</f>
        <v>-0.17542827926518287</v>
      </c>
      <c r="Q47" s="16">
        <f>_xll.PACF(monthly!$H$3:$H$147,1,$M47)</f>
        <v>-5.3331762530195032E-2</v>
      </c>
      <c r="R47" s="16">
        <f>_xll.PACFCI(monthly!$H$3:$H$147,1,$M47,0.05,1)</f>
        <v>0.16276614959217695</v>
      </c>
      <c r="S47" s="16">
        <f>_xll.PACFCI(monthly!$H$3:$H$147,1,$M47,0.05,0)</f>
        <v>-0.16276614959217695</v>
      </c>
    </row>
    <row r="48" spans="1:19" x14ac:dyDescent="0.25">
      <c r="A48" s="1">
        <v>37928</v>
      </c>
      <c r="B48" s="2">
        <v>105.75</v>
      </c>
      <c r="C48" s="2">
        <v>106.95</v>
      </c>
      <c r="D48" s="2">
        <v>103.62</v>
      </c>
      <c r="E48" s="2">
        <v>106.45</v>
      </c>
      <c r="F48" s="2">
        <v>33745300</v>
      </c>
      <c r="G48" s="2">
        <v>90.66</v>
      </c>
      <c r="H48" s="4">
        <v>1.0868466748799044E-2</v>
      </c>
      <c r="I48" s="4">
        <v>1.1747079999759361E-2</v>
      </c>
      <c r="J48" s="3">
        <f>_xll.EWMA($H$3:H47,1,,1)</f>
        <v>4.8025092201916759E-2</v>
      </c>
      <c r="K48" s="21">
        <f t="shared" si="0"/>
        <v>3.7871650155746936E-2</v>
      </c>
      <c r="M48" s="11">
        <v>14</v>
      </c>
      <c r="N48" s="16">
        <f>_xll.ACF(monthly!$H$3:$H$147,1,$M48)</f>
        <v>-0.10863687837083945</v>
      </c>
      <c r="O48" s="16">
        <f>_xll.ACFCI(monthly!$H$3:$H$147,1,$M48,0.05,1)</f>
        <v>0.17587204933765854</v>
      </c>
      <c r="P48" s="16">
        <f>_xll.ACFCI(monthly!$H$3:$H$147,1,$M48,0.05,0)</f>
        <v>-0.17587204933765854</v>
      </c>
      <c r="Q48" s="16">
        <f>_xll.PACF(monthly!$H$3:$H$147,1,$M48)</f>
        <v>-0.10175331193529116</v>
      </c>
      <c r="R48" s="16">
        <f>_xll.PACFCI(monthly!$H$3:$H$147,1,$M48,0.05,1)</f>
        <v>0.16276614959217695</v>
      </c>
      <c r="S48" s="16">
        <f>_xll.PACFCI(monthly!$H$3:$H$147,1,$M48,0.05,0)</f>
        <v>-0.16276614959217695</v>
      </c>
    </row>
    <row r="49" spans="1:28" x14ac:dyDescent="0.25">
      <c r="A49" s="1">
        <v>37956</v>
      </c>
      <c r="B49" s="2">
        <v>106.85</v>
      </c>
      <c r="C49" s="2">
        <v>111.52</v>
      </c>
      <c r="D49" s="2">
        <v>105.96</v>
      </c>
      <c r="E49" s="2">
        <v>111.28</v>
      </c>
      <c r="F49" s="2">
        <v>32266000</v>
      </c>
      <c r="G49" s="2">
        <v>95.22</v>
      </c>
      <c r="H49" s="4">
        <v>4.9073758253669553E-2</v>
      </c>
      <c r="I49" s="4">
        <v>2.0684470883554813E-2</v>
      </c>
      <c r="J49" s="3">
        <f>_xll.EWMA($H$3:H48,1,,1)</f>
        <v>4.6638099514352369E-2</v>
      </c>
      <c r="K49" s="21">
        <f t="shared" si="0"/>
        <v>3.208306034082594E-2</v>
      </c>
      <c r="M49" s="11">
        <v>15</v>
      </c>
      <c r="N49" s="16">
        <f>_xll.ACF(monthly!$H$3:$H$147,1,$M49)</f>
        <v>6.8836087031865861E-2</v>
      </c>
      <c r="O49" s="16">
        <f>_xll.ACFCI(monthly!$H$3:$H$147,1,$M49,0.05,1)</f>
        <v>0.17638531087519216</v>
      </c>
      <c r="P49" s="16">
        <f>_xll.ACFCI(monthly!$H$3:$H$147,1,$M49,0.05,0)</f>
        <v>-0.17638531087519216</v>
      </c>
      <c r="Q49" s="16">
        <f>_xll.PACF(monthly!$H$3:$H$147,1,$M49)</f>
        <v>7.1815680421491626E-2</v>
      </c>
      <c r="R49" s="16">
        <f>_xll.PACFCI(monthly!$H$3:$H$147,1,$M49,0.05,1)</f>
        <v>0.16276614959217695</v>
      </c>
      <c r="S49" s="16">
        <f>_xll.PACFCI(monthly!$H$3:$H$147,1,$M49,0.05,0)</f>
        <v>-0.16276614959217695</v>
      </c>
    </row>
    <row r="50" spans="1:28" x14ac:dyDescent="0.25">
      <c r="A50" s="1">
        <v>37988</v>
      </c>
      <c r="B50" s="2">
        <v>111.74</v>
      </c>
      <c r="C50" s="2">
        <v>116.5</v>
      </c>
      <c r="D50" s="2">
        <v>110.73</v>
      </c>
      <c r="E50" s="2">
        <v>113.48</v>
      </c>
      <c r="F50" s="2">
        <v>38432900</v>
      </c>
      <c r="G50" s="2">
        <v>97.11</v>
      </c>
      <c r="H50" s="4">
        <v>1.965435283988981E-2</v>
      </c>
      <c r="I50" s="4">
        <v>2.4400805928277647E-2</v>
      </c>
      <c r="J50" s="3">
        <f>_xll.EWMA($H$3:H49,1,,1)</f>
        <v>4.6787814777785597E-2</v>
      </c>
      <c r="K50" s="21">
        <f t="shared" si="0"/>
        <v>2.8724606551019861E-2</v>
      </c>
      <c r="M50" s="11">
        <v>16</v>
      </c>
      <c r="N50" s="16">
        <f>_xll.ACF(monthly!$H$3:$H$147,1,$M50)</f>
        <v>7.7939944365011213E-2</v>
      </c>
      <c r="O50" s="16">
        <f>_xll.ACFCI(monthly!$H$3:$H$147,1,$M50,0.05,1)</f>
        <v>0.17814913102357349</v>
      </c>
      <c r="P50" s="16">
        <f>_xll.ACFCI(monthly!$H$3:$H$147,1,$M50,0.05,0)</f>
        <v>-0.17814913102357349</v>
      </c>
      <c r="Q50" s="16">
        <f>_xll.PACF(monthly!$H$3:$H$147,1,$M50)</f>
        <v>6.1714529843596842E-2</v>
      </c>
      <c r="R50" s="16">
        <f>_xll.PACFCI(monthly!$H$3:$H$147,1,$M50,0.05,1)</f>
        <v>0.16276614959217695</v>
      </c>
      <c r="S50" s="16">
        <f>_xll.PACFCI(monthly!$H$3:$H$147,1,$M50,0.05,0)</f>
        <v>-0.16276614959217695</v>
      </c>
    </row>
    <row r="51" spans="1:28" x14ac:dyDescent="0.25">
      <c r="A51" s="1">
        <v>38019</v>
      </c>
      <c r="B51" s="2">
        <v>113.7</v>
      </c>
      <c r="C51" s="2">
        <v>116.6</v>
      </c>
      <c r="D51" s="2">
        <v>112.78</v>
      </c>
      <c r="E51" s="2">
        <v>115.02</v>
      </c>
      <c r="F51" s="2">
        <v>37699400</v>
      </c>
      <c r="G51" s="2">
        <v>98.42</v>
      </c>
      <c r="H51" s="4">
        <v>1.3399678831569339E-2</v>
      </c>
      <c r="I51" s="4">
        <v>2.6652195428883713E-2</v>
      </c>
      <c r="J51" s="3">
        <f>_xll.EWMA($H$3:H50,1,,1)</f>
        <v>4.5617225366223701E-2</v>
      </c>
      <c r="K51" s="21">
        <f t="shared" si="0"/>
        <v>2.6442011643035397E-2</v>
      </c>
      <c r="M51" s="11">
        <v>17</v>
      </c>
      <c r="N51" s="16">
        <f>_xll.ACF(monthly!$H$3:$H$147,1,$M51)</f>
        <v>-0.12385037418367476</v>
      </c>
      <c r="O51" s="16">
        <f>_xll.ACFCI(monthly!$H$3:$H$147,1,$M51,0.05,1)</f>
        <v>0.17885239836321701</v>
      </c>
      <c r="P51" s="16">
        <f>_xll.ACFCI(monthly!$H$3:$H$147,1,$M51,0.05,0)</f>
        <v>-0.17885239836321701</v>
      </c>
      <c r="Q51" s="16">
        <f>_xll.PACF(monthly!$H$3:$H$147,1,$M51)</f>
        <v>-0.11714556478807447</v>
      </c>
      <c r="R51" s="16">
        <f>_xll.PACFCI(monthly!$H$3:$H$147,1,$M51,0.05,1)</f>
        <v>0.16276614959217695</v>
      </c>
      <c r="S51" s="16">
        <f>_xll.PACFCI(monthly!$H$3:$H$147,1,$M51,0.05,0)</f>
        <v>-0.16276614959217695</v>
      </c>
    </row>
    <row r="52" spans="1:28" x14ac:dyDescent="0.25">
      <c r="A52" s="1">
        <v>38047</v>
      </c>
      <c r="B52" s="2">
        <v>115.43</v>
      </c>
      <c r="C52" s="2">
        <v>116.97</v>
      </c>
      <c r="D52" s="2">
        <v>108.85</v>
      </c>
      <c r="E52" s="2">
        <v>113.1</v>
      </c>
      <c r="F52" s="2">
        <v>51022600</v>
      </c>
      <c r="G52" s="2">
        <v>97.12</v>
      </c>
      <c r="H52" s="4">
        <v>-1.3296708126643964E-2</v>
      </c>
      <c r="I52" s="4">
        <v>2.5357812509889738E-2</v>
      </c>
      <c r="J52" s="3">
        <f>_xll.EWMA($H$3:H51,1,,1)</f>
        <v>4.4349165253400484E-2</v>
      </c>
      <c r="K52" s="21">
        <f t="shared" si="0"/>
        <v>2.8075601547051351E-2</v>
      </c>
      <c r="M52" s="11">
        <v>18</v>
      </c>
      <c r="N52" s="16">
        <f>_xll.ACF(monthly!$H$3:$H$147,1,$M52)</f>
        <v>-1.9626719077919994E-2</v>
      </c>
      <c r="O52" s="16">
        <f>_xll.ACFCI(monthly!$H$3:$H$147,1,$M52,0.05,1)</f>
        <v>0.17974996192777437</v>
      </c>
      <c r="P52" s="16">
        <f>_xll.ACFCI(monthly!$H$3:$H$147,1,$M52,0.05,0)</f>
        <v>-0.17974996192777437</v>
      </c>
      <c r="Q52" s="16">
        <f>_xll.PACF(monthly!$H$3:$H$147,1,$M52)</f>
        <v>3.6345347201872415E-2</v>
      </c>
      <c r="R52" s="16">
        <f>_xll.PACFCI(monthly!$H$3:$H$147,1,$M52,0.05,1)</f>
        <v>0.16276614959217695</v>
      </c>
      <c r="S52" s="16">
        <f>_xll.PACFCI(monthly!$H$3:$H$147,1,$M52,0.05,0)</f>
        <v>-0.16276614959217695</v>
      </c>
    </row>
    <row r="53" spans="1:28" x14ac:dyDescent="0.25">
      <c r="A53" s="1">
        <v>38078</v>
      </c>
      <c r="B53" s="2">
        <v>113.07</v>
      </c>
      <c r="C53" s="2">
        <v>115.41</v>
      </c>
      <c r="D53" s="2">
        <v>110.9</v>
      </c>
      <c r="E53" s="2">
        <v>110.96</v>
      </c>
      <c r="F53" s="2">
        <v>48442900</v>
      </c>
      <c r="G53" s="2">
        <v>95.28</v>
      </c>
      <c r="H53" s="4">
        <v>-1.9127402264143889E-2</v>
      </c>
      <c r="I53" s="4">
        <v>1.6997055639453567E-2</v>
      </c>
      <c r="J53" s="3">
        <f>_xll.EWMA($H$3:H52,1,,1)</f>
        <v>4.3121290541602866E-2</v>
      </c>
      <c r="K53" s="21">
        <f t="shared" si="0"/>
        <v>2.4665402962212476E-2</v>
      </c>
    </row>
    <row r="54" spans="1:28" x14ac:dyDescent="0.25">
      <c r="A54" s="1">
        <v>38110</v>
      </c>
      <c r="B54" s="2">
        <v>111.37</v>
      </c>
      <c r="C54" s="2">
        <v>113.26</v>
      </c>
      <c r="D54" s="2">
        <v>108.06</v>
      </c>
      <c r="E54" s="2">
        <v>112.86</v>
      </c>
      <c r="F54" s="2">
        <v>50222500</v>
      </c>
      <c r="G54" s="2">
        <v>96.91</v>
      </c>
      <c r="H54" s="4">
        <v>1.6962787699414505E-2</v>
      </c>
      <c r="I54" s="4">
        <v>1.39626157813133E-2</v>
      </c>
      <c r="J54" s="3">
        <f>_xll.EWMA($H$3:H53,1,,1)</f>
        <v>4.2069352349868562E-2</v>
      </c>
      <c r="K54" s="21">
        <f t="shared" si="0"/>
        <v>2.1863789101928363E-2</v>
      </c>
    </row>
    <row r="55" spans="1:28" x14ac:dyDescent="0.25">
      <c r="A55" s="1">
        <v>38139</v>
      </c>
      <c r="B55" s="2">
        <v>112.46</v>
      </c>
      <c r="C55" s="2">
        <v>114.94</v>
      </c>
      <c r="D55" s="2">
        <v>111.87</v>
      </c>
      <c r="E55" s="2">
        <v>114.53</v>
      </c>
      <c r="F55" s="2">
        <v>36862400</v>
      </c>
      <c r="G55" s="2">
        <v>98.71</v>
      </c>
      <c r="H55" s="4">
        <v>1.8403545683337796E-2</v>
      </c>
      <c r="I55" s="4">
        <v>1.4616328651635349E-2</v>
      </c>
      <c r="J55" s="3">
        <f>_xll.EWMA($H$3:H54,1,,1)</f>
        <v>4.0998838431122321E-2</v>
      </c>
      <c r="K55" s="21">
        <f t="shared" si="0"/>
        <v>2.1870044113936053E-2</v>
      </c>
    </row>
    <row r="56" spans="1:28" x14ac:dyDescent="0.25">
      <c r="A56" s="1">
        <v>38169</v>
      </c>
      <c r="B56" s="2">
        <v>114.25</v>
      </c>
      <c r="C56" s="2">
        <v>114.4</v>
      </c>
      <c r="D56" s="2">
        <v>108.21</v>
      </c>
      <c r="E56" s="2">
        <v>110.84</v>
      </c>
      <c r="F56" s="2">
        <v>47438100</v>
      </c>
      <c r="G56" s="2">
        <v>95.53</v>
      </c>
      <c r="H56" s="4">
        <v>-3.2745924147879357E-2</v>
      </c>
      <c r="I56" s="4">
        <v>1.0391888391280579E-2</v>
      </c>
      <c r="J56" s="3">
        <f>_xll.EWMA($H$3:H55,1,,1)</f>
        <v>4.0004648444428532E-2</v>
      </c>
      <c r="K56" s="21">
        <f t="shared" si="0"/>
        <v>2.5724455301348256E-2</v>
      </c>
    </row>
    <row r="57" spans="1:28" x14ac:dyDescent="0.25">
      <c r="A57" s="1">
        <v>38201</v>
      </c>
      <c r="B57" s="2">
        <v>110.19</v>
      </c>
      <c r="C57" s="2">
        <v>111.63</v>
      </c>
      <c r="D57" s="2">
        <v>106.59</v>
      </c>
      <c r="E57" s="2">
        <v>111.11</v>
      </c>
      <c r="F57" s="2">
        <v>43955300</v>
      </c>
      <c r="G57" s="2">
        <v>95.76</v>
      </c>
      <c r="H57" s="4">
        <v>2.4047269678009187E-3</v>
      </c>
      <c r="I57" s="4">
        <v>8.9000278199387051E-3</v>
      </c>
      <c r="J57" s="3">
        <f>_xll.EWMA($H$3:H56,1,,1)</f>
        <v>3.9606657473592731E-2</v>
      </c>
      <c r="K57" s="21">
        <f t="shared" si="0"/>
        <v>2.5616046236220859E-2</v>
      </c>
    </row>
    <row r="58" spans="1:28" ht="15.75" thickBot="1" x14ac:dyDescent="0.3">
      <c r="A58" s="1">
        <v>38231</v>
      </c>
      <c r="B58" s="2">
        <v>110.95</v>
      </c>
      <c r="C58" s="2">
        <v>113.74</v>
      </c>
      <c r="D58" s="2">
        <v>110.41</v>
      </c>
      <c r="E58" s="2">
        <v>111.76</v>
      </c>
      <c r="F58" s="2">
        <v>39734600</v>
      </c>
      <c r="G58" s="2">
        <v>96.72</v>
      </c>
      <c r="H58" s="4">
        <v>9.975145056818846E-3</v>
      </c>
      <c r="I58" s="4">
        <v>1.0636725534214278E-2</v>
      </c>
      <c r="J58" s="3">
        <f>_xll.EWMA($H$3:H57,1,,1)</f>
        <v>3.8404596599418271E-2</v>
      </c>
      <c r="K58" s="21">
        <f t="shared" si="0"/>
        <v>2.4849176323951165E-2</v>
      </c>
      <c r="M58" s="5" t="s">
        <v>53</v>
      </c>
      <c r="Q58" s="5" t="s">
        <v>41</v>
      </c>
      <c r="V58" s="5" t="s">
        <v>45</v>
      </c>
    </row>
    <row r="59" spans="1:28" ht="15.75" thickBot="1" x14ac:dyDescent="0.3">
      <c r="A59" s="1">
        <v>38261</v>
      </c>
      <c r="B59" s="2">
        <v>112.26</v>
      </c>
      <c r="C59" s="2">
        <v>114.68</v>
      </c>
      <c r="D59" s="2">
        <v>109.35</v>
      </c>
      <c r="E59" s="2">
        <v>113.2</v>
      </c>
      <c r="F59" s="2">
        <v>52042400</v>
      </c>
      <c r="G59" s="2">
        <v>97.97</v>
      </c>
      <c r="H59" s="4">
        <v>1.2841103050013736E-2</v>
      </c>
      <c r="I59" s="4">
        <v>7.367794216053861E-3</v>
      </c>
      <c r="J59" s="3">
        <f>_xll.EWMA($H$3:H58,1,,1)</f>
        <v>3.7314721876231111E-2</v>
      </c>
      <c r="K59" s="21">
        <f t="shared" si="0"/>
        <v>2.1218242427426957E-2</v>
      </c>
      <c r="M59" s="7"/>
      <c r="N59" s="7" t="s">
        <v>35</v>
      </c>
      <c r="O59" s="7" t="s">
        <v>36</v>
      </c>
      <c r="Q59" s="7" t="s">
        <v>42</v>
      </c>
      <c r="R59" s="7" t="s">
        <v>43</v>
      </c>
      <c r="S59" s="18" t="s">
        <v>44</v>
      </c>
      <c r="V59" s="15" t="s">
        <v>46</v>
      </c>
      <c r="W59" s="15" t="s">
        <v>47</v>
      </c>
      <c r="X59" s="15" t="s">
        <v>48</v>
      </c>
      <c r="Y59" s="15" t="s">
        <v>49</v>
      </c>
      <c r="Z59" s="15" t="s">
        <v>50</v>
      </c>
      <c r="AA59" s="15" t="s">
        <v>51</v>
      </c>
      <c r="AB59" s="15" t="s">
        <v>52</v>
      </c>
    </row>
    <row r="60" spans="1:28" x14ac:dyDescent="0.25">
      <c r="A60" s="1">
        <v>38292</v>
      </c>
      <c r="B60" s="2">
        <v>113.56</v>
      </c>
      <c r="C60" s="2">
        <v>119.14</v>
      </c>
      <c r="D60" s="2">
        <v>113.2</v>
      </c>
      <c r="E60" s="2">
        <v>117.89</v>
      </c>
      <c r="F60" s="2">
        <v>48346900</v>
      </c>
      <c r="G60" s="2">
        <v>102.33</v>
      </c>
      <c r="H60" s="4">
        <v>4.3541575742112926E-2</v>
      </c>
      <c r="I60" s="4">
        <v>1.0090553298830018E-2</v>
      </c>
      <c r="J60" s="3">
        <f>_xll.EWMA($H$3:H59,1,,1)</f>
        <v>3.6314443355652808E-2</v>
      </c>
      <c r="K60" s="21">
        <f t="shared" si="0"/>
        <v>2.3663701943231592E-2</v>
      </c>
      <c r="N60" s="11" t="s">
        <v>37</v>
      </c>
      <c r="O60" s="26">
        <v>1.2011675599302226E-3</v>
      </c>
      <c r="Q60" s="17">
        <f>_xll.EGARCH_LLF(monthly!$H$3:$H$147,1,$O$60,$O$61:$O$62,$O$63,$O$64)</f>
        <v>241.49524078920669</v>
      </c>
      <c r="R60" s="17">
        <f>_xll.EGARCH_AIC(monthly!$H$3:$H$147,1,$O$60,$O$61:$O$62,$O$63,$O$64)</f>
        <v>-476.99048157841338</v>
      </c>
      <c r="S60">
        <f>_xll.EGARCH_CHECK($O$60,$O$61:$O$62,$O$63,$O$64)</f>
        <v>1</v>
      </c>
      <c r="V60" s="19">
        <f>AVERAGE(_xll.RMNA(_xll.EGARCH_RESID(monthly!$H$3:$H$147,1,$O$60,$O$61:$O$62,$O$63,$O$64)))</f>
        <v>3.4823406224883571E-2</v>
      </c>
      <c r="W60" s="19">
        <f>STDEV(_xll.RMNA(_xll.EGARCH_RESID(monthly!$H$3:$H$147,1,$O$60,$O$61:$O$62,$O$63,$O$64)))</f>
        <v>0.98771709386791606</v>
      </c>
      <c r="X60" s="19">
        <f>SKEW(_xll.RMNA(_xll.EGARCH_RESID(monthly!$H$3:$H$147,1,$O$60,$O$61:$O$62,$O$63,$O$64)))</f>
        <v>-0.35749061719685349</v>
      </c>
      <c r="Y60" s="19">
        <f>KURT(_xll.RMNA(_xll.EGARCH_RESID(monthly!$H$3:$H$147,1,$O$60,$O$61:$O$62,$O$63,$O$64)))</f>
        <v>0.18377448357806481</v>
      </c>
      <c r="Z60" s="19" t="b">
        <f>IF(_xll.WNTest(_xll.RMNA(_xll.EGARCH_RESID(monthly!$H$3:$H$147,1,$O$60,$O$61:$O$62,$O$63,$O$64)),1) &gt;0.05, TRUE, FALSE)</f>
        <v>1</v>
      </c>
      <c r="AA60" s="19" t="b">
        <f>IF(_xll.NormalityTest(_xll.RMNA(_xll.EGARCH_RESID(monthly!$H$3:$H$147,1,$O$60,$O$61:$O$62,$O$63,$O$64)),1) &gt;0.05, TRUE, FALSE)</f>
        <v>1</v>
      </c>
      <c r="AB60" s="19" t="b">
        <f>IF(_xll.ARCHTest(_xll.RMNA(_xll.EGARCH_RESID(monthly!$H$3:$H$147,1,$O$60,$O$61:$O$62,$O$63,$O$64)),1) &lt;0.05, TRUE, FALSE)</f>
        <v>1</v>
      </c>
    </row>
    <row r="61" spans="1:28" ht="18" x14ac:dyDescent="0.35">
      <c r="A61" s="1">
        <v>38322</v>
      </c>
      <c r="B61" s="2">
        <v>118.16</v>
      </c>
      <c r="C61" s="2">
        <v>121.66</v>
      </c>
      <c r="D61" s="2">
        <v>117.73</v>
      </c>
      <c r="E61" s="2">
        <v>120.87</v>
      </c>
      <c r="F61" s="2">
        <v>42628100</v>
      </c>
      <c r="G61" s="2">
        <v>105.41</v>
      </c>
      <c r="H61" s="4">
        <v>2.9654623168434036E-2</v>
      </c>
      <c r="I61" s="4">
        <v>8.4722920417270586E-3</v>
      </c>
      <c r="J61" s="3">
        <f>_xll.EWMA($H$3:H60,1,,1)</f>
        <v>3.6788131204825159E-2</v>
      </c>
      <c r="K61" s="21">
        <f t="shared" si="0"/>
        <v>2.1301549268445172E-2</v>
      </c>
      <c r="N61" s="11" t="s">
        <v>38</v>
      </c>
      <c r="O61" s="10">
        <v>-9.2302976531325207</v>
      </c>
      <c r="U61" s="8" t="s">
        <v>21</v>
      </c>
      <c r="V61" s="19">
        <v>0</v>
      </c>
      <c r="W61" s="19">
        <v>1</v>
      </c>
      <c r="X61" s="19">
        <v>0</v>
      </c>
      <c r="Y61" s="19">
        <v>0</v>
      </c>
      <c r="AB61" s="21"/>
    </row>
    <row r="62" spans="1:28" ht="18" x14ac:dyDescent="0.35">
      <c r="A62" s="1">
        <v>38355</v>
      </c>
      <c r="B62" s="2">
        <v>121.56</v>
      </c>
      <c r="C62" s="2">
        <v>121.76</v>
      </c>
      <c r="D62" s="2">
        <v>116.37</v>
      </c>
      <c r="E62" s="2">
        <v>118.16</v>
      </c>
      <c r="F62" s="2">
        <v>61837200</v>
      </c>
      <c r="G62" s="2">
        <v>103.05</v>
      </c>
      <c r="H62" s="4">
        <v>-2.2643200930629881E-2</v>
      </c>
      <c r="I62" s="4">
        <v>4.947495894183751E-3</v>
      </c>
      <c r="J62" s="3">
        <f>_xll.EWMA($H$3:H61,1,,1)</f>
        <v>3.6399565961787707E-2</v>
      </c>
      <c r="K62" s="21">
        <f t="shared" si="0"/>
        <v>2.27343576158004E-2</v>
      </c>
      <c r="N62" s="11" t="s">
        <v>39</v>
      </c>
      <c r="O62" s="10">
        <v>0.31179354382893382</v>
      </c>
      <c r="U62" s="8" t="s">
        <v>23</v>
      </c>
      <c r="V62" s="2" t="b">
        <f>IF( _xll.TEST_MEAN(_xll.RMNA(_xll.EGARCH_RESID(monthly!$H$3:$H$147,1,$O$60,$O$61:$O$62,$O$63,$O$64)),V61) &gt;0.05/2, FALSE, TRUE)</f>
        <v>0</v>
      </c>
      <c r="W62" s="2" t="b">
        <f>IF( _xll.TEST_STDEV(_xll.RMNA(_xll.EGARCH_RESID(monthly!$H$3:$H$147,1,$O$60,$O$61:$O$62,$O$63,$O$64)),W61) &gt;0.05, FALSE, TRUE)</f>
        <v>0</v>
      </c>
      <c r="X62" s="2" t="b">
        <f>IF( _xll.TEST_SKEW(_xll.RMNA(_xll.EGARCH_RESID(monthly!$H$3:$H$147,1,$O$60,$O$61:$O$62,$O$63,$O$64))) &gt;0.05/2, FALSE, TRUE)</f>
        <v>0</v>
      </c>
      <c r="Y62" s="2" t="b">
        <f>IF( _xll.TEST_XKURT(_xll.RMNA(_xll.EGARCH_RESID(monthly!$H$3:$H$147,1,$O$60,$O$61:$O$62,$O$63,$O$64))) &gt;0.05/2, FALSE, TRUE)</f>
        <v>0</v>
      </c>
    </row>
    <row r="63" spans="1:28" ht="18.75" thickBot="1" x14ac:dyDescent="0.4">
      <c r="A63" s="1">
        <v>38384</v>
      </c>
      <c r="B63" s="2">
        <v>118.25</v>
      </c>
      <c r="C63" s="2">
        <v>121.67</v>
      </c>
      <c r="D63" s="2">
        <v>118.1</v>
      </c>
      <c r="E63" s="2">
        <v>120.63</v>
      </c>
      <c r="F63" s="2">
        <v>57631000</v>
      </c>
      <c r="G63" s="2">
        <v>105.2</v>
      </c>
      <c r="H63" s="4">
        <v>2.0648992967141844E-2</v>
      </c>
      <c r="I63" s="4">
        <v>5.5516054054814603E-3</v>
      </c>
      <c r="J63" s="3">
        <f>_xll.EWMA($H$3:H62,1,,1)</f>
        <v>3.5723879562237285E-2</v>
      </c>
      <c r="K63" s="21">
        <f t="shared" si="0"/>
        <v>2.307316310533539E-2</v>
      </c>
      <c r="N63" s="11" t="s">
        <v>54</v>
      </c>
      <c r="O63" s="10">
        <v>-0.5757774834624324</v>
      </c>
      <c r="Q63" s="28" t="s">
        <v>59</v>
      </c>
    </row>
    <row r="64" spans="1:28" ht="18" x14ac:dyDescent="0.35">
      <c r="A64" s="1">
        <v>38412</v>
      </c>
      <c r="B64" s="2">
        <v>120.82</v>
      </c>
      <c r="C64" s="2">
        <v>123.25</v>
      </c>
      <c r="D64" s="2">
        <v>116.25</v>
      </c>
      <c r="E64" s="2">
        <v>117.96</v>
      </c>
      <c r="F64" s="2">
        <v>63414700</v>
      </c>
      <c r="G64" s="2">
        <v>103.28</v>
      </c>
      <c r="H64" s="4">
        <v>-1.8419553765222751E-2</v>
      </c>
      <c r="I64" s="4">
        <v>5.1247016022665601E-3</v>
      </c>
      <c r="J64" s="3">
        <f>_xll.EWMA($H$3:H63,1,,1)</f>
        <v>3.5002952609058925E-2</v>
      </c>
      <c r="K64" s="21">
        <f t="shared" si="0"/>
        <v>2.3497098465429647E-2</v>
      </c>
      <c r="N64" s="11" t="s">
        <v>40</v>
      </c>
      <c r="O64" s="10">
        <v>-0.46432390673201945</v>
      </c>
      <c r="Q64" s="27">
        <f>_xll.EGARCH_VL($O$61:$O$62,$O$64,1)</f>
        <v>4.6570810558149267E-2</v>
      </c>
    </row>
    <row r="65" spans="1:18" x14ac:dyDescent="0.25">
      <c r="A65" s="1">
        <v>38443</v>
      </c>
      <c r="B65" s="2">
        <v>118.63</v>
      </c>
      <c r="C65" s="2">
        <v>119.26</v>
      </c>
      <c r="D65" s="2">
        <v>113.55</v>
      </c>
      <c r="E65" s="2">
        <v>115.75</v>
      </c>
      <c r="F65" s="2">
        <v>82729100</v>
      </c>
      <c r="G65" s="2">
        <v>101.34</v>
      </c>
      <c r="H65" s="4">
        <v>-1.8962546490623566E-2</v>
      </c>
      <c r="I65" s="4">
        <v>5.1384395833932546E-3</v>
      </c>
      <c r="J65" s="3">
        <f>_xll.EWMA($H$3:H64,1,,1)</f>
        <v>3.4235231670393287E-2</v>
      </c>
      <c r="K65" s="21">
        <f t="shared" si="0"/>
        <v>2.348167315006405E-2</v>
      </c>
    </row>
    <row r="66" spans="1:18" x14ac:dyDescent="0.25">
      <c r="A66" s="1">
        <v>38474</v>
      </c>
      <c r="B66" s="2">
        <v>116.07</v>
      </c>
      <c r="C66" s="2">
        <v>120.25</v>
      </c>
      <c r="D66" s="2">
        <v>114.8</v>
      </c>
      <c r="E66" s="2">
        <v>119.48</v>
      </c>
      <c r="F66" s="2">
        <v>65620200</v>
      </c>
      <c r="G66" s="2">
        <v>104.61</v>
      </c>
      <c r="H66" s="4">
        <v>3.1757949307905875E-2</v>
      </c>
      <c r="I66" s="4">
        <v>6.3713697174342023E-3</v>
      </c>
      <c r="J66" s="3">
        <f>_xll.EWMA($H$3:H65,1,,1)</f>
        <v>3.3515708443034781E-2</v>
      </c>
      <c r="K66" s="21">
        <f t="shared" si="0"/>
        <v>2.4524237365976396E-2</v>
      </c>
    </row>
    <row r="67" spans="1:18" ht="15.75" thickBot="1" x14ac:dyDescent="0.3">
      <c r="A67" s="1">
        <v>38504</v>
      </c>
      <c r="B67" s="2">
        <v>119.52</v>
      </c>
      <c r="C67" s="2">
        <v>121.94</v>
      </c>
      <c r="D67" s="2">
        <v>118.75</v>
      </c>
      <c r="E67" s="2">
        <v>119.18</v>
      </c>
      <c r="F67" s="2">
        <v>52345900</v>
      </c>
      <c r="G67" s="2">
        <v>104.77</v>
      </c>
      <c r="H67" s="4">
        <v>1.5283220092046079E-3</v>
      </c>
      <c r="I67" s="4">
        <v>4.9651010779231024E-3</v>
      </c>
      <c r="J67" s="3">
        <f>_xll.EWMA($H$3:H66,1,,1)</f>
        <v>3.3412850676750309E-2</v>
      </c>
      <c r="K67" s="21">
        <f t="shared" si="0"/>
        <v>2.4253905321903281E-2</v>
      </c>
    </row>
    <row r="68" spans="1:18" ht="15.75" thickBot="1" x14ac:dyDescent="0.3">
      <c r="A68" s="1">
        <v>38534</v>
      </c>
      <c r="B68" s="2">
        <v>119.45</v>
      </c>
      <c r="C68" s="2">
        <v>124.64</v>
      </c>
      <c r="D68" s="2">
        <v>118.26</v>
      </c>
      <c r="E68" s="2">
        <v>123.74</v>
      </c>
      <c r="F68" s="2">
        <v>61933200</v>
      </c>
      <c r="G68" s="2">
        <v>108.77</v>
      </c>
      <c r="H68" s="4">
        <v>3.7468089740885446E-2</v>
      </c>
      <c r="I68" s="4">
        <v>1.0816268901986836E-2</v>
      </c>
      <c r="J68" s="3">
        <f>_xll.EWMA($H$3:H67,1,,1)</f>
        <v>3.2397123653433085E-2</v>
      </c>
      <c r="K68" s="21">
        <f t="shared" si="0"/>
        <v>2.2752142809337916E-2</v>
      </c>
      <c r="M68" s="15" t="s">
        <v>55</v>
      </c>
      <c r="N68" s="15" t="s">
        <v>56</v>
      </c>
      <c r="O68" s="15" t="s">
        <v>57</v>
      </c>
      <c r="P68" s="15" t="s">
        <v>58</v>
      </c>
      <c r="Q68" s="15" t="s">
        <v>32</v>
      </c>
      <c r="R68" s="15" t="s">
        <v>33</v>
      </c>
    </row>
    <row r="69" spans="1:18" x14ac:dyDescent="0.25">
      <c r="A69" s="1">
        <v>38565</v>
      </c>
      <c r="B69" s="2">
        <v>123.83</v>
      </c>
      <c r="C69" s="2">
        <v>124.74</v>
      </c>
      <c r="D69" s="2">
        <v>120.38</v>
      </c>
      <c r="E69" s="2">
        <v>122.58</v>
      </c>
      <c r="F69" s="2">
        <v>61283000</v>
      </c>
      <c r="G69" s="2">
        <v>107.75</v>
      </c>
      <c r="H69" s="4">
        <v>-9.4218321219017298E-3</v>
      </c>
      <c r="I69" s="4">
        <v>9.8307223111782829E-3</v>
      </c>
      <c r="J69" s="3">
        <f>_xll.EWMA($H$3:H68,1,,1)</f>
        <v>3.2723549145603784E-2</v>
      </c>
      <c r="K69" s="21">
        <f t="shared" si="0"/>
        <v>2.339664136139722E-2</v>
      </c>
      <c r="L69" s="29">
        <v>40969</v>
      </c>
      <c r="M69" s="11">
        <v>1</v>
      </c>
      <c r="N69" s="20">
        <f>_xll.EGARCH_FORE($H$132:$H$147,1,$O$60,$O$61:$O$62,$O$63,$O$64,$M69)</f>
        <v>1.2011675599302226E-3</v>
      </c>
      <c r="O69" s="20">
        <f>_xll.EGARCH_FORESD($H$132:$H$147,$K$132:$K$147,1,$O$60,$O$61:$O$62,$O$63,$O$64,1,,$M69,1)</f>
        <v>4.2657886249163363E-2</v>
      </c>
      <c r="P69" s="20">
        <f>O69</f>
        <v>4.2657886249163363E-2</v>
      </c>
      <c r="Q69" s="20">
        <f>_xll.EGARCH_FORECI($H$132:$H$147,$K$132:$K$147,1,$O$60,$O$61:$O$62,$O$63,$O$64,1,,$M69,0.05,1)</f>
        <v>8.5301478304911096E-2</v>
      </c>
      <c r="R69" s="20">
        <f>_xll.EGARCH_FORECI($H$132:$H$147,$K$132:$K$147,1,$O$60,$O$61:$O$62,$O$63,$O$64,1,,$M69,0.05,0)</f>
        <v>-8.2899143185050664E-2</v>
      </c>
    </row>
    <row r="70" spans="1:18" x14ac:dyDescent="0.25">
      <c r="A70" s="1">
        <v>38596</v>
      </c>
      <c r="B70" s="2">
        <v>122.52</v>
      </c>
      <c r="C70" s="2">
        <v>124.74</v>
      </c>
      <c r="D70" s="2">
        <v>120.44</v>
      </c>
      <c r="E70" s="2">
        <v>123.04</v>
      </c>
      <c r="F70" s="2">
        <v>63563200</v>
      </c>
      <c r="G70" s="2">
        <v>108.62</v>
      </c>
      <c r="H70" s="4">
        <v>8.0418236228414486E-3</v>
      </c>
      <c r="I70" s="4">
        <v>9.6696121916801676E-3</v>
      </c>
      <c r="J70" s="3">
        <f>_xll.EWMA($H$3:H69,1,,1)</f>
        <v>3.1810487009721486E-2</v>
      </c>
      <c r="K70" s="21">
        <f t="shared" si="0"/>
        <v>2.3402212249491391E-2</v>
      </c>
      <c r="L70" s="29">
        <v>41000</v>
      </c>
      <c r="M70" s="11">
        <v>2</v>
      </c>
      <c r="N70" s="20">
        <f>_xll.EGARCH_FORE($H$132:$H$147,1,$O$60,$O$61:$O$62,$O$63,$O$64,$M70)</f>
        <v>1.2011675599302226E-3</v>
      </c>
      <c r="O70" s="20">
        <f>_xll.EGARCH_FORESD($H$132:$H$147,$K$132:$K$147,1,$O$60,$O$61:$O$62,$O$63,$O$64,1,,$M70,1)</f>
        <v>4.8507763793803192E-2</v>
      </c>
      <c r="P70" s="20">
        <f>SQRT(SUMSQ($O$69:O70)/COUNT($O$69:O70))</f>
        <v>4.5676571716373182E-2</v>
      </c>
      <c r="Q70" s="20">
        <f>_xll.EGARCH_FORECI($H$132:$H$147,$K$132:$K$147,1,$O$60,$O$61:$O$62,$O$63,$O$64,1,,$M70,0.05,1)</f>
        <v>9.6015771816020598E-2</v>
      </c>
      <c r="R70" s="20">
        <f>_xll.EGARCH_FORECI($H$132:$H$147,$K$132:$K$147,1,$O$60,$O$61:$O$62,$O$63,$O$64,1,,$M70,0.05,0)</f>
        <v>-9.3613436696160165E-2</v>
      </c>
    </row>
    <row r="71" spans="1:18" x14ac:dyDescent="0.25">
      <c r="A71" s="1">
        <v>38628</v>
      </c>
      <c r="B71" s="2">
        <v>122.96</v>
      </c>
      <c r="C71" s="2">
        <v>123.34</v>
      </c>
      <c r="D71" s="2">
        <v>116.88</v>
      </c>
      <c r="E71" s="2">
        <v>120.13</v>
      </c>
      <c r="F71" s="2">
        <v>88679300</v>
      </c>
      <c r="G71" s="2">
        <v>106.05</v>
      </c>
      <c r="H71" s="4">
        <v>-2.3944871596007111E-2</v>
      </c>
      <c r="I71" s="4">
        <v>6.6041143045117616E-3</v>
      </c>
      <c r="J71" s="3">
        <f>_xll.EWMA($H$3:H70,1,,1)</f>
        <v>3.090425398547542E-2</v>
      </c>
      <c r="K71" s="21">
        <f t="shared" si="0"/>
        <v>2.5282776671384385E-2</v>
      </c>
      <c r="L71" s="29">
        <v>41030</v>
      </c>
      <c r="M71" s="11">
        <v>3</v>
      </c>
      <c r="N71" s="20">
        <f>_xll.EGARCH_FORE($H$132:$H$147,1,$O$60,$O$61:$O$62,$O$63,$O$64,$M71)</f>
        <v>1.2011675599302226E-3</v>
      </c>
      <c r="O71" s="20">
        <f>_xll.EGARCH_FORESD($H$132:$H$147,$K$132:$K$147,1,$O$60,$O$61:$O$62,$O$63,$O$64,1,,$M71,1)</f>
        <v>4.569792118641286E-2</v>
      </c>
      <c r="P71" s="20">
        <f>SQRT(SUMSQ($O$69:O71)/COUNT($O$69:O71))</f>
        <v>4.5683689314975302E-2</v>
      </c>
      <c r="Q71" s="20">
        <f>_xll.EGARCH_FORECI($H$132:$H$147,$K$132:$K$147,1,$O$60,$O$61:$O$62,$O$63,$O$64,1,,$M71,0.05,1)</f>
        <v>9.0880908534736626E-2</v>
      </c>
      <c r="R71" s="20">
        <f>_xll.EGARCH_FORECI($H$132:$H$147,$K$132:$K$147,1,$O$60,$O$61:$O$62,$O$63,$O$64,1,,$M71,0.05,0)</f>
        <v>-8.8478573414876194E-2</v>
      </c>
    </row>
    <row r="72" spans="1:18" x14ac:dyDescent="0.25">
      <c r="A72" s="1">
        <v>38657</v>
      </c>
      <c r="B72" s="2">
        <v>120.58</v>
      </c>
      <c r="C72" s="2">
        <v>127.41</v>
      </c>
      <c r="D72" s="2">
        <v>120.13</v>
      </c>
      <c r="E72" s="2">
        <v>125.41</v>
      </c>
      <c r="F72" s="2">
        <v>59035200</v>
      </c>
      <c r="G72" s="2">
        <v>110.71</v>
      </c>
      <c r="H72" s="4">
        <v>4.300348886068317E-2</v>
      </c>
      <c r="I72" s="4">
        <v>6.5592737310592817E-3</v>
      </c>
      <c r="J72" s="3">
        <f>_xll.EWMA($H$3:H71,1,,1)</f>
        <v>3.0531458400800363E-2</v>
      </c>
      <c r="K72" s="21">
        <f t="shared" si="0"/>
        <v>2.5211687478894563E-2</v>
      </c>
      <c r="L72" s="29">
        <v>41061</v>
      </c>
      <c r="M72" s="11">
        <v>4</v>
      </c>
      <c r="N72" s="20">
        <f>_xll.EGARCH_FORE($H$132:$H$147,1,$O$60,$O$61:$O$62,$O$63,$O$64,$M72)</f>
        <v>1.2011675599302226E-3</v>
      </c>
      <c r="O72" s="20">
        <f>_xll.EGARCH_FORESD($H$132:$H$147,$K$132:$K$147,1,$O$60,$O$61:$O$62,$O$63,$O$64,1,,$M72,1)</f>
        <v>4.6981763034328716E-2</v>
      </c>
      <c r="P72" s="20">
        <f>SQRT(SUMSQ($O$69:O72)/COUNT($O$69:O72))</f>
        <v>4.601164109792049E-2</v>
      </c>
      <c r="Q72" s="20">
        <f>_xll.EGARCH_FORECI($H$132:$H$147,$K$132:$K$147,1,$O$60,$O$61:$O$62,$O$63,$O$64,1,,$M72,0.05,1)</f>
        <v>9.3229618360229832E-2</v>
      </c>
      <c r="R72" s="20">
        <f>_xll.EGARCH_FORECI($H$132:$H$147,$K$132:$K$147,1,$O$60,$O$61:$O$62,$O$63,$O$64,1,,$M72,0.05,0)</f>
        <v>-9.08272832403694E-2</v>
      </c>
    </row>
    <row r="73" spans="1:18" x14ac:dyDescent="0.25">
      <c r="A73" s="1">
        <v>38687</v>
      </c>
      <c r="B73" s="2">
        <v>126.02</v>
      </c>
      <c r="C73" s="2">
        <v>128.09</v>
      </c>
      <c r="D73" s="2">
        <v>124.36</v>
      </c>
      <c r="E73" s="2">
        <v>124.51</v>
      </c>
      <c r="F73" s="2">
        <v>53228200</v>
      </c>
      <c r="G73" s="2">
        <v>110.5</v>
      </c>
      <c r="H73" s="4">
        <v>-1.8986489135670581E-3</v>
      </c>
      <c r="I73" s="4">
        <v>3.9298343908925251E-3</v>
      </c>
      <c r="J73" s="3">
        <f>_xll.EWMA($H$3:H72,1,,1)</f>
        <v>3.1419703343705668E-2</v>
      </c>
      <c r="K73" s="21">
        <f t="shared" si="0"/>
        <v>2.4209492720780146E-2</v>
      </c>
      <c r="L73" s="29">
        <v>41091</v>
      </c>
      <c r="M73" s="11">
        <v>5</v>
      </c>
      <c r="N73" s="20">
        <f>_xll.EGARCH_FORE($H$132:$H$147,1,$O$60,$O$61:$O$62,$O$63,$O$64,$M73)</f>
        <v>1.2011675599302226E-3</v>
      </c>
      <c r="O73" s="20">
        <f>_xll.EGARCH_FORESD($H$132:$H$147,$K$132:$K$147,1,$O$60,$O$61:$O$62,$O$63,$O$64,1,,$M73,1)</f>
        <v>4.6381219444652649E-2</v>
      </c>
      <c r="P73" s="20">
        <f>SQRT(SUMSQ($O$69:O73)/COUNT($O$69:O73))</f>
        <v>4.6085793870277218E-2</v>
      </c>
      <c r="Q73" s="20">
        <f>_xll.EGARCH_FORECI($H$132:$H$147,$K$132:$K$147,1,$O$60,$O$61:$O$62,$O$63,$O$64,1,,$M73,0.05,1)</f>
        <v>9.2131502547478539E-2</v>
      </c>
      <c r="R73" s="20">
        <f>_xll.EGARCH_FORECI($H$132:$H$147,$K$132:$K$147,1,$O$60,$O$61:$O$62,$O$63,$O$64,1,,$M73,0.05,0)</f>
        <v>-8.9729167427618106E-2</v>
      </c>
    </row>
    <row r="74" spans="1:18" x14ac:dyDescent="0.25">
      <c r="A74" s="1">
        <v>38720</v>
      </c>
      <c r="B74" s="2">
        <v>125.19</v>
      </c>
      <c r="C74" s="2">
        <v>129.44</v>
      </c>
      <c r="D74" s="2">
        <v>124.39</v>
      </c>
      <c r="E74" s="2">
        <v>127.5</v>
      </c>
      <c r="F74" s="2">
        <v>65342300</v>
      </c>
      <c r="G74" s="2">
        <v>113.15</v>
      </c>
      <c r="H74" s="4">
        <v>2.3698851121738862E-2</v>
      </c>
      <c r="I74" s="4">
        <v>7.7916720619232525E-3</v>
      </c>
      <c r="J74" s="3">
        <f>_xll.EWMA($H$3:H73,1,,1)</f>
        <v>3.0466082530839111E-2</v>
      </c>
      <c r="K74" s="21">
        <f t="shared" si="0"/>
        <v>2.3262957776668109E-2</v>
      </c>
      <c r="L74" s="29">
        <v>41122</v>
      </c>
      <c r="M74" s="11">
        <v>6</v>
      </c>
      <c r="N74" s="20">
        <f>_xll.EGARCH_FORE($H$132:$H$147,1,$O$60,$O$61:$O$62,$O$63,$O$64,$M74)</f>
        <v>1.2011675599302226E-3</v>
      </c>
      <c r="O74" s="20">
        <f>_xll.EGARCH_FORESD($H$132:$H$147,$K$132:$K$147,1,$O$60,$O$61:$O$62,$O$63,$O$64,1,,$M74,1)</f>
        <v>4.6659105517083285E-2</v>
      </c>
      <c r="P74" s="20">
        <f>SQRT(SUMSQ($O$69:O74)/COUNT($O$69:O74))</f>
        <v>4.6181840065337945E-2</v>
      </c>
      <c r="Q74" s="20">
        <f>_xll.EGARCH_FORECI($H$132:$H$147,$K$132:$K$147,1,$O$60,$O$61:$O$62,$O$63,$O$64,1,,$M74,0.05,1)</f>
        <v>9.2639744861142376E-2</v>
      </c>
      <c r="R74" s="20">
        <f>_xll.EGARCH_FORECI($H$132:$H$147,$K$132:$K$147,1,$O$60,$O$61:$O$62,$O$63,$O$64,1,,$M74,0.05,0)</f>
        <v>-9.0237409741281943E-2</v>
      </c>
    </row>
    <row r="75" spans="1:18" x14ac:dyDescent="0.25">
      <c r="A75" s="1">
        <v>38749</v>
      </c>
      <c r="B75" s="2">
        <v>127.82</v>
      </c>
      <c r="C75" s="2">
        <v>130.04</v>
      </c>
      <c r="D75" s="2">
        <v>125.4</v>
      </c>
      <c r="E75" s="2">
        <v>128.22999999999999</v>
      </c>
      <c r="F75" s="2">
        <v>64191500</v>
      </c>
      <c r="G75" s="2">
        <v>113.8</v>
      </c>
      <c r="H75" s="4">
        <v>5.7281496126835307E-3</v>
      </c>
      <c r="I75" s="4">
        <v>6.5482684490517275E-3</v>
      </c>
      <c r="J75" s="3">
        <f>_xll.EWMA($H$3:H74,1,,1)</f>
        <v>3.0102979692362128E-2</v>
      </c>
      <c r="K75" s="21">
        <f t="shared" si="0"/>
        <v>2.2909331253312876E-2</v>
      </c>
      <c r="L75" s="29">
        <v>41153</v>
      </c>
      <c r="M75" s="11">
        <v>7</v>
      </c>
      <c r="N75" s="20">
        <f>_xll.EGARCH_FORE($H$132:$H$147,1,$O$60,$O$61:$O$62,$O$63,$O$64,$M75)</f>
        <v>1.2011675599302226E-3</v>
      </c>
      <c r="O75" s="20">
        <f>_xll.EGARCH_FORESD($H$132:$H$147,$K$132:$K$147,1,$O$60,$O$61:$O$62,$O$63,$O$64,1,,$M75,1)</f>
        <v>4.6529869919077121E-2</v>
      </c>
      <c r="P75" s="20">
        <f>SQRT(SUMSQ($O$69:O75)/COUNT($O$69:O75))</f>
        <v>4.6231719021235004E-2</v>
      </c>
      <c r="Q75" s="20">
        <f>_xll.EGARCH_FORECI($H$132:$H$147,$K$132:$K$147,1,$O$60,$O$61:$O$62,$O$63,$O$64,1,,$M75,0.05,1)</f>
        <v>9.240340347924382E-2</v>
      </c>
      <c r="R75" s="20">
        <f>_xll.EGARCH_FORECI($H$132:$H$147,$K$132:$K$147,1,$O$60,$O$61:$O$62,$O$63,$O$64,1,,$M75,0.05,0)</f>
        <v>-9.0001068359383388E-2</v>
      </c>
    </row>
    <row r="76" spans="1:18" x14ac:dyDescent="0.25">
      <c r="A76" s="1">
        <v>38777</v>
      </c>
      <c r="B76" s="2">
        <v>128.6</v>
      </c>
      <c r="C76" s="2">
        <v>131.47</v>
      </c>
      <c r="D76" s="2">
        <v>127.18</v>
      </c>
      <c r="E76" s="2">
        <v>129.83000000000001</v>
      </c>
      <c r="F76" s="2">
        <v>61465300</v>
      </c>
      <c r="G76" s="2">
        <v>115.68</v>
      </c>
      <c r="H76" s="4">
        <v>1.6385236718224228E-2</v>
      </c>
      <c r="I76" s="4">
        <v>9.4486676560056413E-3</v>
      </c>
      <c r="J76" s="3">
        <f>_xll.EWMA($H$3:H75,1,,1)</f>
        <v>2.9219629105386634E-2</v>
      </c>
      <c r="K76" s="21">
        <f t="shared" si="0"/>
        <v>2.1628344313345562E-2</v>
      </c>
      <c r="L76" s="29">
        <v>41183</v>
      </c>
      <c r="M76" s="11">
        <v>8</v>
      </c>
      <c r="N76" s="20">
        <f>_xll.EGARCH_FORE($H$132:$H$147,1,$O$60,$O$61:$O$62,$O$63,$O$64,$M76)</f>
        <v>1.2011675599302226E-3</v>
      </c>
      <c r="O76" s="20">
        <f>_xll.EGARCH_FORESD($H$132:$H$147,$K$132:$K$147,1,$O$60,$O$61:$O$62,$O$63,$O$64,1,,$M76,1)</f>
        <v>4.6589832520023834E-2</v>
      </c>
      <c r="P76" s="20">
        <f>SQRT(SUMSQ($O$69:O76)/COUNT($O$69:O76))</f>
        <v>4.6276634762929814E-2</v>
      </c>
      <c r="Q76" s="20">
        <f>_xll.EGARCH_FORECI($H$132:$H$147,$K$132:$K$147,1,$O$60,$O$61:$O$62,$O$63,$O$64,1,,$M76,0.05,1)</f>
        <v>9.2513066366789617E-2</v>
      </c>
      <c r="R76" s="20">
        <f>_xll.EGARCH_FORECI($H$132:$H$147,$K$132:$K$147,1,$O$60,$O$61:$O$62,$O$63,$O$64,1,,$M76,0.05,0)</f>
        <v>-9.0110731246929185E-2</v>
      </c>
    </row>
    <row r="77" spans="1:18" x14ac:dyDescent="0.25">
      <c r="A77" s="1">
        <v>38810</v>
      </c>
      <c r="B77" s="2">
        <v>130.07</v>
      </c>
      <c r="C77" s="2">
        <v>131.86000000000001</v>
      </c>
      <c r="D77" s="2">
        <v>128.02000000000001</v>
      </c>
      <c r="E77" s="2">
        <v>131.47</v>
      </c>
      <c r="F77" s="2">
        <v>71378000</v>
      </c>
      <c r="G77" s="2">
        <v>117.14</v>
      </c>
      <c r="H77" s="4">
        <v>1.254204225118194E-2</v>
      </c>
      <c r="I77" s="4">
        <v>1.20740500511561E-2</v>
      </c>
      <c r="J77" s="3">
        <f>_xll.EWMA($H$3:H76,1,,1)</f>
        <v>2.8612376351706808E-2</v>
      </c>
      <c r="K77" s="21">
        <f t="shared" si="0"/>
        <v>1.9691480251746551E-2</v>
      </c>
      <c r="L77" s="29">
        <v>41214</v>
      </c>
      <c r="M77" s="11">
        <v>9</v>
      </c>
      <c r="N77" s="20">
        <f>_xll.EGARCH_FORE($H$132:$H$147,1,$O$60,$O$61:$O$62,$O$63,$O$64,$M77)</f>
        <v>1.2011675599302226E-3</v>
      </c>
      <c r="O77" s="20">
        <f>_xll.EGARCH_FORESD($H$132:$H$147,$K$132:$K$147,1,$O$60,$O$61:$O$62,$O$63,$O$64,1,,$M77,1)</f>
        <v>4.6561980846956369E-2</v>
      </c>
      <c r="P77" s="20">
        <f>SQRT(SUMSQ($O$69:O77)/COUNT($O$69:O77))</f>
        <v>4.6308426711255096E-2</v>
      </c>
      <c r="Q77" s="20">
        <f>_xll.EGARCH_FORECI($H$132:$H$147,$K$132:$K$147,1,$O$60,$O$61:$O$62,$O$63,$O$64,1,,$M77,0.05,1)</f>
        <v>9.2462130877422707E-2</v>
      </c>
      <c r="R77" s="20">
        <f>_xll.EGARCH_FORECI($H$132:$H$147,$K$132:$K$147,1,$O$60,$O$61:$O$62,$O$63,$O$64,1,,$M77,0.05,0)</f>
        <v>-9.0059795757562275E-2</v>
      </c>
    </row>
    <row r="78" spans="1:18" x14ac:dyDescent="0.25">
      <c r="A78" s="1">
        <v>38838</v>
      </c>
      <c r="B78" s="2">
        <v>131.47</v>
      </c>
      <c r="C78" s="2">
        <v>132.80000000000001</v>
      </c>
      <c r="D78" s="2">
        <v>124.76</v>
      </c>
      <c r="E78" s="2">
        <v>127.51</v>
      </c>
      <c r="F78" s="2">
        <v>83621500</v>
      </c>
      <c r="G78" s="2">
        <v>113.61</v>
      </c>
      <c r="H78" s="4">
        <v>-3.0598270079823742E-2</v>
      </c>
      <c r="I78" s="4">
        <v>6.8776984355119674E-3</v>
      </c>
      <c r="J78" s="3">
        <f>_xll.EWMA($H$3:H77,1,,1)</f>
        <v>2.7910323629295922E-2</v>
      </c>
      <c r="K78" s="21">
        <f t="shared" si="0"/>
        <v>2.2104595395536757E-2</v>
      </c>
      <c r="L78" s="29">
        <v>41244</v>
      </c>
      <c r="M78" s="11">
        <v>10</v>
      </c>
      <c r="N78" s="20">
        <f>_xll.EGARCH_FORE($H$132:$H$147,1,$O$60,$O$61:$O$62,$O$63,$O$64,$M78)</f>
        <v>1.2011675599302226E-3</v>
      </c>
      <c r="O78" s="20">
        <f>_xll.EGARCH_FORESD($H$132:$H$147,$K$132:$K$147,1,$O$60,$O$61:$O$62,$O$63,$O$64,1,,$M78,1)</f>
        <v>4.657491097335896E-2</v>
      </c>
      <c r="P78" s="20">
        <f>SQRT(SUMSQ($O$69:O78)/COUNT($O$69:O78))</f>
        <v>4.6335144105119033E-2</v>
      </c>
      <c r="Q78" s="20">
        <f>_xll.EGARCH_FORECI($H$132:$H$147,$K$132:$K$147,1,$O$60,$O$61:$O$62,$O$63,$O$64,1,,$M78,0.05,1)</f>
        <v>9.2485777908359726E-2</v>
      </c>
      <c r="R78" s="20">
        <f>_xll.EGARCH_FORECI($H$132:$H$147,$K$132:$K$147,1,$O$60,$O$61:$O$62,$O$63,$O$64,1,,$M78,0.05,0)</f>
        <v>-9.0083442788499293E-2</v>
      </c>
    </row>
    <row r="79" spans="1:18" x14ac:dyDescent="0.25">
      <c r="A79" s="1">
        <v>38869</v>
      </c>
      <c r="B79" s="2">
        <v>127.38</v>
      </c>
      <c r="C79" s="2">
        <v>129.43</v>
      </c>
      <c r="D79" s="2">
        <v>122.34</v>
      </c>
      <c r="E79" s="2">
        <v>127.28</v>
      </c>
      <c r="F79" s="2">
        <v>100820700</v>
      </c>
      <c r="G79" s="2">
        <v>113.91</v>
      </c>
      <c r="H79" s="4">
        <v>2.637132330008285E-3</v>
      </c>
      <c r="I79" s="4">
        <v>6.9700992955789402E-3</v>
      </c>
      <c r="J79" s="3">
        <f>_xll.EWMA($H$3:H78,1,,1)</f>
        <v>2.8078857581803115E-2</v>
      </c>
      <c r="K79" s="21">
        <f t="shared" si="0"/>
        <v>2.2082507744863977E-2</v>
      </c>
      <c r="L79" s="29">
        <v>41275</v>
      </c>
      <c r="M79" s="11">
        <v>11</v>
      </c>
      <c r="N79" s="20">
        <f>_xll.EGARCH_FORE($H$132:$H$147,1,$O$60,$O$61:$O$62,$O$63,$O$64,$M79)</f>
        <v>1.2011675599302226E-3</v>
      </c>
      <c r="O79" s="20">
        <f>_xll.EGARCH_FORESD($H$132:$H$147,$K$132:$K$147,1,$O$60,$O$61:$O$62,$O$63,$O$64,1,,$M79,1)</f>
        <v>4.6568906760066468E-2</v>
      </c>
      <c r="P79" s="20">
        <f>SQRT(SUMSQ($O$69:O79)/COUNT($O$69:O79))</f>
        <v>4.6356443966340602E-2</v>
      </c>
      <c r="Q79" s="20">
        <f>_xll.EGARCH_FORECI($H$132:$H$147,$K$132:$K$147,1,$O$60,$O$61:$O$62,$O$63,$O$64,1,,$M79,0.05,1)</f>
        <v>9.2474797264657335E-2</v>
      </c>
      <c r="R79" s="20">
        <f>_xll.EGARCH_FORECI($H$132:$H$147,$K$132:$K$147,1,$O$60,$O$61:$O$62,$O$63,$O$64,1,,$M79,0.05,0)</f>
        <v>-9.0072462144796903E-2</v>
      </c>
    </row>
    <row r="80" spans="1:18" x14ac:dyDescent="0.25">
      <c r="A80" s="1">
        <v>38901</v>
      </c>
      <c r="B80" s="2">
        <v>127.43</v>
      </c>
      <c r="C80" s="2">
        <v>128.13999999999999</v>
      </c>
      <c r="D80" s="2">
        <v>122.39</v>
      </c>
      <c r="E80" s="2">
        <v>127.85</v>
      </c>
      <c r="F80" s="2">
        <v>87044700</v>
      </c>
      <c r="G80" s="2">
        <v>114.42</v>
      </c>
      <c r="H80" s="4">
        <v>4.4672259285620797E-3</v>
      </c>
      <c r="I80" s="4">
        <v>4.2200273112186579E-3</v>
      </c>
      <c r="J80" s="3">
        <f>_xll.EWMA($H$3:H79,1,,1)</f>
        <v>2.7231125142542122E-2</v>
      </c>
      <c r="K80" s="21">
        <f t="shared" ref="K80:K143" si="1">STDEV(H69:H80)</f>
        <v>1.9884646507889878E-2</v>
      </c>
      <c r="L80" s="29">
        <v>41306</v>
      </c>
      <c r="M80" s="11">
        <v>12</v>
      </c>
      <c r="N80" s="20">
        <f>_xll.EGARCH_FORE($H$132:$H$147,1,$O$60,$O$61:$O$62,$O$63,$O$64,$M80)</f>
        <v>1.2011675599302226E-3</v>
      </c>
      <c r="O80" s="20">
        <f>_xll.EGARCH_FORESD($H$132:$H$147,$K$132:$K$147,1,$O$60,$O$61:$O$62,$O$63,$O$64,1,,$M80,1)</f>
        <v>4.6571694563571527E-2</v>
      </c>
      <c r="P80" s="20">
        <f>SQRT(SUMSQ($O$69:O80)/COUNT($O$69:O80))</f>
        <v>4.6374419676307753E-2</v>
      </c>
      <c r="Q80" s="20">
        <f>_xll.EGARCH_FORECI($H$132:$H$147,$K$132:$K$147,1,$O$60,$O$61:$O$62,$O$63,$O$64,1,,$M80,0.05,1)</f>
        <v>9.2479895675762647E-2</v>
      </c>
      <c r="R80" s="20">
        <f>_xll.EGARCH_FORECI($H$132:$H$147,$K$132:$K$147,1,$O$60,$O$61:$O$62,$O$63,$O$64,1,,$M80,0.05,0)</f>
        <v>-9.0077560555902214E-2</v>
      </c>
    </row>
    <row r="81" spans="1:18" x14ac:dyDescent="0.25">
      <c r="A81" s="1">
        <v>38930</v>
      </c>
      <c r="B81" s="2">
        <v>127.34</v>
      </c>
      <c r="C81" s="2">
        <v>131.04</v>
      </c>
      <c r="D81" s="2">
        <v>126.28</v>
      </c>
      <c r="E81" s="2">
        <v>130.63999999999999</v>
      </c>
      <c r="F81" s="2">
        <v>63385000</v>
      </c>
      <c r="G81" s="2">
        <v>116.92</v>
      </c>
      <c r="H81" s="4">
        <v>2.1614051402662149E-2</v>
      </c>
      <c r="I81" s="4">
        <v>6.8063509382656484E-3</v>
      </c>
      <c r="J81" s="3">
        <f>_xll.EWMA($H$3:H80,1,,1)</f>
        <v>2.6424221698791269E-2</v>
      </c>
      <c r="K81" s="21">
        <f t="shared" si="1"/>
        <v>1.9967186128145239E-2</v>
      </c>
      <c r="L81" s="29">
        <v>41334</v>
      </c>
      <c r="M81" s="11">
        <v>13</v>
      </c>
      <c r="N81" s="20">
        <f>_xll.EGARCH_FORE($H$132:$H$147,1,$O$60,$O$61:$O$62,$O$63,$O$64,$M81)</f>
        <v>1.2011675599302226E-3</v>
      </c>
      <c r="O81" s="20">
        <f>_xll.EGARCH_FORESD($H$132:$H$147,$K$132:$K$147,1,$O$60,$O$61:$O$62,$O$63,$O$64,1,,$M81,1)</f>
        <v>4.6570400099002526E-2</v>
      </c>
      <c r="P81" s="20">
        <f>SQRT(SUMSQ($O$69:O81)/COUNT($O$69:O81))</f>
        <v>4.6389524488213277E-2</v>
      </c>
      <c r="Q81" s="20">
        <f>_xll.EGARCH_FORECI($H$132:$H$147,$K$132:$K$147,1,$O$60,$O$61:$O$62,$O$63,$O$64,1,,$M81,0.05,1)</f>
        <v>9.2477528326183556E-2</v>
      </c>
      <c r="R81" s="20">
        <f>_xll.EGARCH_FORECI($H$132:$H$147,$K$132:$K$147,1,$O$60,$O$61:$O$62,$O$63,$O$64,1,,$M81,0.05,0)</f>
        <v>-9.0075193206323123E-2</v>
      </c>
    </row>
    <row r="82" spans="1:18" x14ac:dyDescent="0.25">
      <c r="A82" s="1">
        <v>38961</v>
      </c>
      <c r="B82" s="2">
        <v>131.13999999999999</v>
      </c>
      <c r="C82" s="2">
        <v>133.99</v>
      </c>
      <c r="D82" s="2">
        <v>129.35</v>
      </c>
      <c r="E82" s="2">
        <v>133.58000000000001</v>
      </c>
      <c r="F82" s="2">
        <v>70582700</v>
      </c>
      <c r="G82" s="2">
        <v>120.07</v>
      </c>
      <c r="H82" s="4">
        <v>2.6584965799581362E-2</v>
      </c>
      <c r="I82" s="4">
        <v>8.3516127863273067E-3</v>
      </c>
      <c r="J82" s="3">
        <f>_xll.EWMA($H$3:H81,1,,1)</f>
        <v>2.6160564900740854E-2</v>
      </c>
      <c r="K82" s="21">
        <f t="shared" si="1"/>
        <v>2.0772768326837245E-2</v>
      </c>
      <c r="L82" s="29">
        <v>41365</v>
      </c>
      <c r="M82" s="11">
        <v>14</v>
      </c>
      <c r="N82" s="20">
        <f>_xll.EGARCH_FORE($H$132:$H$147,1,$O$60,$O$61:$O$62,$O$63,$O$64,$M82)</f>
        <v>1.2011675599302226E-3</v>
      </c>
      <c r="O82" s="20">
        <f>_xll.EGARCH_FORESD($H$132:$H$147,$K$132:$K$147,1,$O$60,$O$61:$O$62,$O$63,$O$64,1,,$M82,1)</f>
        <v>4.6571001145373693E-2</v>
      </c>
      <c r="P82" s="20">
        <f>SQRT(SUMSQ($O$69:O82)/COUNT($O$69:O82))</f>
        <v>4.6402510643926066E-2</v>
      </c>
      <c r="Q82" s="20">
        <f>_xll.EGARCH_FORECI($H$132:$H$147,$K$132:$K$147,1,$O$60,$O$61:$O$62,$O$63,$O$64,1,,$M82,0.05,1)</f>
        <v>9.2478627535552929E-2</v>
      </c>
      <c r="R82" s="20">
        <f>_xll.EGARCH_FORECI($H$132:$H$147,$K$132:$K$147,1,$O$60,$O$61:$O$62,$O$63,$O$64,1,,$M82,0.05,0)</f>
        <v>-9.0076292415692497E-2</v>
      </c>
    </row>
    <row r="83" spans="1:18" x14ac:dyDescent="0.25">
      <c r="A83" s="1">
        <v>38992</v>
      </c>
      <c r="B83" s="2">
        <v>133.54</v>
      </c>
      <c r="C83" s="2">
        <v>139</v>
      </c>
      <c r="D83" s="2">
        <v>132.65</v>
      </c>
      <c r="E83" s="2">
        <v>137.79</v>
      </c>
      <c r="F83" s="2">
        <v>68846200</v>
      </c>
      <c r="G83" s="2">
        <v>123.86</v>
      </c>
      <c r="H83" s="4">
        <v>3.1076989467288207E-2</v>
      </c>
      <c r="I83" s="4">
        <v>1.2936767874935251E-2</v>
      </c>
      <c r="J83" s="3">
        <f>_xll.EWMA($H$3:H82,1,,1)</f>
        <v>2.618622292283132E-2</v>
      </c>
      <c r="K83" s="21">
        <f t="shared" si="1"/>
        <v>1.8992062981340197E-2</v>
      </c>
      <c r="L83" s="29">
        <v>41395</v>
      </c>
      <c r="M83" s="11">
        <v>15</v>
      </c>
      <c r="N83" s="20">
        <f>_xll.EGARCH_FORE($H$132:$H$147,1,$O$60,$O$61:$O$62,$O$63,$O$64,$M83)</f>
        <v>1.2011675599302226E-3</v>
      </c>
      <c r="O83" s="20">
        <f>_xll.EGARCH_FORESD($H$132:$H$147,$K$132:$K$147,1,$O$60,$O$61:$O$62,$O$63,$O$64,1,,$M83,1)</f>
        <v>4.6570722064209799E-2</v>
      </c>
      <c r="P83" s="20">
        <f>SQRT(SUMSQ($O$69:O83)/COUNT($O$69:O83))</f>
        <v>4.6413743704795944E-2</v>
      </c>
      <c r="Q83" s="20">
        <f>_xll.EGARCH_FORECI($H$132:$H$147,$K$132:$K$147,1,$O$60,$O$61:$O$62,$O$63,$O$64,1,,$M83,0.05,1)</f>
        <v>9.2478117144718E-2</v>
      </c>
      <c r="R83" s="20">
        <f>_xll.EGARCH_FORECI($H$132:$H$147,$K$132:$K$147,1,$O$60,$O$61:$O$62,$O$63,$O$64,1,,$M83,0.05,0)</f>
        <v>-9.0075782024857567E-2</v>
      </c>
    </row>
    <row r="84" spans="1:18" x14ac:dyDescent="0.25">
      <c r="A84" s="1">
        <v>39022</v>
      </c>
      <c r="B84" s="2">
        <v>138.22</v>
      </c>
      <c r="C84" s="2">
        <v>141.16</v>
      </c>
      <c r="D84" s="2">
        <v>135.62</v>
      </c>
      <c r="E84" s="2">
        <v>140.53</v>
      </c>
      <c r="F84" s="2">
        <v>75526300</v>
      </c>
      <c r="G84" s="2">
        <v>126.32</v>
      </c>
      <c r="H84" s="4">
        <v>1.9666474437471493E-2</v>
      </c>
      <c r="I84" s="4">
        <v>1.0992016673000943E-2</v>
      </c>
      <c r="J84" s="3">
        <f>_xll.EWMA($H$3:H83,1,,1)</f>
        <v>2.6505130280143129E-2</v>
      </c>
      <c r="K84" s="21">
        <f t="shared" si="1"/>
        <v>1.6688535999555474E-2</v>
      </c>
      <c r="L84" s="29">
        <v>41426</v>
      </c>
      <c r="M84" s="11">
        <v>16</v>
      </c>
      <c r="N84" s="20">
        <f>_xll.EGARCH_FORE($H$132:$H$147,1,$O$60,$O$61:$O$62,$O$63,$O$64,$M84)</f>
        <v>1.2011675599302226E-3</v>
      </c>
      <c r="O84" s="20">
        <f>_xll.EGARCH_FORESD($H$132:$H$147,$K$132:$K$147,1,$O$60,$O$61:$O$62,$O$63,$O$64,1,,$M84,1)</f>
        <v>4.6570851648058124E-2</v>
      </c>
      <c r="P84" s="20">
        <f>SQRT(SUMSQ($O$69:O84)/COUNT($O$69:O84))</f>
        <v>4.6423578528078491E-2</v>
      </c>
      <c r="Q84" s="20">
        <f>_xll.EGARCH_FORECI($H$132:$H$147,$K$132:$K$147,1,$O$60,$O$61:$O$62,$O$63,$O$64,1,,$M84,0.05,1)</f>
        <v>9.2478354131029478E-2</v>
      </c>
      <c r="R84" s="20">
        <f>_xll.EGARCH_FORECI($H$132:$H$147,$K$132:$K$147,1,$O$60,$O$61:$O$62,$O$63,$O$64,1,,$M84,0.05,0)</f>
        <v>-9.0076019011169045E-2</v>
      </c>
    </row>
    <row r="85" spans="1:18" x14ac:dyDescent="0.25">
      <c r="A85" s="1">
        <v>39052</v>
      </c>
      <c r="B85" s="2">
        <v>140.53</v>
      </c>
      <c r="C85" s="2">
        <v>143.24</v>
      </c>
      <c r="D85" s="2">
        <v>138.97</v>
      </c>
      <c r="E85" s="2">
        <v>141.62</v>
      </c>
      <c r="F85" s="2">
        <v>62910900</v>
      </c>
      <c r="G85" s="2">
        <v>128.01</v>
      </c>
      <c r="H85" s="4">
        <v>1.3290015920631504E-2</v>
      </c>
      <c r="I85" s="4">
        <v>1.2257738742517491E-2</v>
      </c>
      <c r="J85" s="3">
        <f>_xll.EWMA($H$3:H84,1,,1)</f>
        <v>2.6145302222489258E-2</v>
      </c>
      <c r="K85" s="21">
        <f t="shared" si="1"/>
        <v>1.6190531702435604E-2</v>
      </c>
      <c r="L85" s="29">
        <v>41456</v>
      </c>
      <c r="M85" s="11">
        <v>17</v>
      </c>
      <c r="N85" s="20">
        <f>_xll.EGARCH_FORE($H$132:$H$147,1,$O$60,$O$61:$O$62,$O$63,$O$64,$M85)</f>
        <v>1.2011675599302226E-3</v>
      </c>
      <c r="O85" s="20">
        <f>_xll.EGARCH_FORESD($H$132:$H$147,$K$132:$K$147,1,$O$60,$O$61:$O$62,$O$63,$O$64,1,,$M85,1)</f>
        <v>4.657079147913458E-2</v>
      </c>
      <c r="P85" s="20">
        <f>SQRT(SUMSQ($O$69:O85)/COUNT($O$69:O85))</f>
        <v>4.6432251033493924E-2</v>
      </c>
      <c r="Q85" s="20">
        <f>_xll.EGARCH_FORECI($H$132:$H$147,$K$132:$K$147,1,$O$60,$O$61:$O$62,$O$63,$O$64,1,,$M85,0.05,1)</f>
        <v>9.2478244092543016E-2</v>
      </c>
      <c r="R85" s="20">
        <f>_xll.EGARCH_FORECI($H$132:$H$147,$K$132:$K$147,1,$O$60,$O$61:$O$62,$O$63,$O$64,1,,$M85,0.05,0)</f>
        <v>-9.0075908972682583E-2</v>
      </c>
    </row>
    <row r="86" spans="1:18" x14ac:dyDescent="0.25">
      <c r="A86" s="1">
        <v>39085</v>
      </c>
      <c r="B86" s="2">
        <v>142.25</v>
      </c>
      <c r="C86" s="2">
        <v>144.13</v>
      </c>
      <c r="D86" s="2">
        <v>140.25</v>
      </c>
      <c r="E86" s="2">
        <v>143.75</v>
      </c>
      <c r="F86" s="2">
        <v>71109900</v>
      </c>
      <c r="G86" s="2">
        <v>129.93</v>
      </c>
      <c r="H86" s="4">
        <v>1.4887458026627165E-2</v>
      </c>
      <c r="I86" s="4">
        <v>1.1523455984591516E-2</v>
      </c>
      <c r="J86" s="3">
        <f>_xll.EWMA($H$3:H85,1,,1)</f>
        <v>2.5556989063604929E-2</v>
      </c>
      <c r="K86" s="21">
        <f t="shared" si="1"/>
        <v>1.5820047126408068E-2</v>
      </c>
      <c r="L86" s="29">
        <v>41487</v>
      </c>
      <c r="M86" s="11">
        <v>18</v>
      </c>
      <c r="N86" s="20">
        <f>_xll.EGARCH_FORE($H$132:$H$147,1,$O$60,$O$61:$O$62,$O$63,$O$64,$M86)</f>
        <v>1.2011675599302226E-3</v>
      </c>
      <c r="O86" s="20">
        <f>_xll.EGARCH_FORESD($H$132:$H$147,$K$132:$K$147,1,$O$60,$O$61:$O$62,$O$63,$O$64,1,,$M86,1)</f>
        <v>4.6570819416994549E-2</v>
      </c>
      <c r="P86" s="20">
        <f>SQRT(SUMSQ($O$69:O86)/COUNT($O$69:O86))</f>
        <v>4.6439960124041446E-2</v>
      </c>
      <c r="Q86" s="20">
        <f>_xll.EGARCH_FORECI($H$132:$H$147,$K$132:$K$147,1,$O$60,$O$61:$O$62,$O$63,$O$64,1,,$M86,0.05,1)</f>
        <v>9.2478295186026419E-2</v>
      </c>
      <c r="R86" s="20">
        <f>_xll.EGARCH_FORECI($H$132:$H$147,$K$132:$K$147,1,$O$60,$O$61:$O$62,$O$63,$O$64,1,,$M86,0.05,0)</f>
        <v>-9.0075960066165986E-2</v>
      </c>
    </row>
    <row r="87" spans="1:18" x14ac:dyDescent="0.25">
      <c r="A87" s="1">
        <v>39114</v>
      </c>
      <c r="B87" s="2">
        <v>144.15</v>
      </c>
      <c r="C87" s="2">
        <v>146.41999999999999</v>
      </c>
      <c r="D87" s="2">
        <v>139</v>
      </c>
      <c r="E87" s="2">
        <v>140.93</v>
      </c>
      <c r="F87" s="2">
        <v>88004400</v>
      </c>
      <c r="G87" s="2">
        <v>127.38</v>
      </c>
      <c r="H87" s="4">
        <v>-1.9821098951425142E-2</v>
      </c>
      <c r="I87" s="4">
        <v>9.39435193758246E-3</v>
      </c>
      <c r="J87" s="3">
        <f>_xll.EWMA($H$3:H86,1,,1)</f>
        <v>2.5045324773040251E-2</v>
      </c>
      <c r="K87" s="21">
        <f t="shared" si="1"/>
        <v>1.8209666118391622E-2</v>
      </c>
    </row>
    <row r="88" spans="1:18" x14ac:dyDescent="0.25">
      <c r="A88" s="1">
        <v>39142</v>
      </c>
      <c r="B88" s="2">
        <v>139.34</v>
      </c>
      <c r="C88" s="2">
        <v>143.81</v>
      </c>
      <c r="D88" s="2">
        <v>136.75</v>
      </c>
      <c r="E88" s="2">
        <v>142</v>
      </c>
      <c r="F88" s="2">
        <v>138477200</v>
      </c>
      <c r="G88" s="2">
        <v>128.86000000000001</v>
      </c>
      <c r="H88" s="4">
        <v>1.1551798767276189E-2</v>
      </c>
      <c r="I88" s="4">
        <v>8.9915654416701241E-3</v>
      </c>
      <c r="J88" s="3">
        <f>_xll.EWMA($H$3:H87,1,,1)</f>
        <v>2.4762971413511164E-2</v>
      </c>
      <c r="K88" s="21">
        <f t="shared" si="1"/>
        <v>1.8094063830307271E-2</v>
      </c>
    </row>
    <row r="89" spans="1:18" x14ac:dyDescent="0.25">
      <c r="A89" s="1">
        <v>39174</v>
      </c>
      <c r="B89" s="2">
        <v>142.16</v>
      </c>
      <c r="C89" s="2">
        <v>149.80000000000001</v>
      </c>
      <c r="D89" s="2">
        <v>141.47999999999999</v>
      </c>
      <c r="E89" s="2">
        <v>148.29</v>
      </c>
      <c r="F89" s="2">
        <v>94608200</v>
      </c>
      <c r="G89" s="2">
        <v>134.57</v>
      </c>
      <c r="H89" s="4">
        <v>4.33579660429535E-2</v>
      </c>
      <c r="I89" s="4">
        <v>1.1559559090984418E-2</v>
      </c>
      <c r="J89" s="3">
        <f>_xll.EWMA($H$3:H88,1,,1)</f>
        <v>2.4174761866838881E-2</v>
      </c>
      <c r="K89" s="21">
        <f t="shared" si="1"/>
        <v>2.0650016757566524E-2</v>
      </c>
    </row>
    <row r="90" spans="1:18" x14ac:dyDescent="0.25">
      <c r="A90" s="1">
        <v>39203</v>
      </c>
      <c r="B90" s="2">
        <v>148.41999999999999</v>
      </c>
      <c r="C90" s="2">
        <v>153.88999999999999</v>
      </c>
      <c r="D90" s="2">
        <v>147.66999999999999</v>
      </c>
      <c r="E90" s="2">
        <v>153.32</v>
      </c>
      <c r="F90" s="2">
        <v>119229300</v>
      </c>
      <c r="G90" s="2">
        <v>139.13</v>
      </c>
      <c r="H90" s="4">
        <v>3.3324238100336245E-2</v>
      </c>
      <c r="I90" s="4">
        <v>1.6886434772664421E-2</v>
      </c>
      <c r="J90" s="3">
        <f>_xll.EWMA($H$3:H89,1,,1)</f>
        <v>2.5732251316240868E-2</v>
      </c>
      <c r="K90" s="21">
        <f t="shared" si="1"/>
        <v>1.6642133141828334E-2</v>
      </c>
    </row>
    <row r="91" spans="1:18" x14ac:dyDescent="0.25">
      <c r="A91" s="1">
        <v>39234</v>
      </c>
      <c r="B91" s="2">
        <v>153.88</v>
      </c>
      <c r="C91" s="2">
        <v>154.4</v>
      </c>
      <c r="D91" s="2">
        <v>148.06</v>
      </c>
      <c r="E91" s="2">
        <v>150.43</v>
      </c>
      <c r="F91" s="2">
        <v>176313600</v>
      </c>
      <c r="G91" s="2">
        <v>137.1</v>
      </c>
      <c r="H91" s="4">
        <v>-1.4698161285517486E-2</v>
      </c>
      <c r="I91" s="4">
        <v>1.5441826971370606E-2</v>
      </c>
      <c r="J91" s="3">
        <f>_xll.EWMA($H$3:H90,1,,1)</f>
        <v>2.6249764247172264E-2</v>
      </c>
      <c r="K91" s="21">
        <f t="shared" si="1"/>
        <v>1.8625661521565733E-2</v>
      </c>
    </row>
    <row r="92" spans="1:18" x14ac:dyDescent="0.25">
      <c r="A92" s="1">
        <v>39265</v>
      </c>
      <c r="B92" s="2">
        <v>150.87</v>
      </c>
      <c r="C92" s="2">
        <v>155.53</v>
      </c>
      <c r="D92" s="2">
        <v>145.04</v>
      </c>
      <c r="E92" s="2">
        <v>145.72</v>
      </c>
      <c r="F92" s="2">
        <v>205031000</v>
      </c>
      <c r="G92" s="2">
        <v>132.81</v>
      </c>
      <c r="H92" s="4">
        <v>-3.1791051156108807E-2</v>
      </c>
      <c r="I92" s="4">
        <v>1.2420303880981365E-2</v>
      </c>
      <c r="J92" s="3">
        <f>_xll.EWMA($H$3:H91,1,,1)</f>
        <v>2.5703487552484021E-2</v>
      </c>
      <c r="K92" s="21">
        <f t="shared" si="1"/>
        <v>2.2996077975884818E-2</v>
      </c>
    </row>
    <row r="93" spans="1:18" x14ac:dyDescent="0.25">
      <c r="A93" s="1">
        <v>39295</v>
      </c>
      <c r="B93" s="2">
        <v>145.18</v>
      </c>
      <c r="C93" s="2">
        <v>150.59</v>
      </c>
      <c r="D93" s="2">
        <v>137</v>
      </c>
      <c r="E93" s="2">
        <v>147.59</v>
      </c>
      <c r="F93" s="2">
        <v>277452000</v>
      </c>
      <c r="G93" s="2">
        <v>134.51</v>
      </c>
      <c r="H93" s="4">
        <v>1.271901030833078E-2</v>
      </c>
      <c r="I93" s="4">
        <v>1.167905045645375E-2</v>
      </c>
      <c r="J93" s="3">
        <f>_xll.EWMA($H$3:H92,1,,1)</f>
        <v>2.6108798747465928E-2</v>
      </c>
      <c r="K93" s="21">
        <f t="shared" si="1"/>
        <v>2.2815438109410127E-2</v>
      </c>
    </row>
    <row r="94" spans="1:18" x14ac:dyDescent="0.25">
      <c r="A94" s="1">
        <v>39329</v>
      </c>
      <c r="B94" s="2">
        <v>147.44999999999999</v>
      </c>
      <c r="C94" s="2">
        <v>154.38999999999999</v>
      </c>
      <c r="D94" s="2">
        <v>144.33000000000001</v>
      </c>
      <c r="E94" s="2">
        <v>152.58000000000001</v>
      </c>
      <c r="F94" s="2">
        <v>163177900</v>
      </c>
      <c r="G94" s="2">
        <v>139.72</v>
      </c>
      <c r="H94" s="4">
        <v>3.8001874218140941E-2</v>
      </c>
      <c r="I94" s="4">
        <v>1.2630459491333715E-2</v>
      </c>
      <c r="J94" s="3">
        <f>_xll.EWMA($H$3:H93,1,,1)</f>
        <v>2.5504423206709523E-2</v>
      </c>
      <c r="K94" s="21">
        <f t="shared" si="1"/>
        <v>2.3713879645243637E-2</v>
      </c>
    </row>
    <row r="95" spans="1:18" x14ac:dyDescent="0.25">
      <c r="A95" s="1">
        <v>39356</v>
      </c>
      <c r="B95" s="2">
        <v>152.6</v>
      </c>
      <c r="C95" s="2">
        <v>157.52000000000001</v>
      </c>
      <c r="D95" s="2">
        <v>148.66</v>
      </c>
      <c r="E95" s="2">
        <v>154.65</v>
      </c>
      <c r="F95" s="2">
        <v>177001000</v>
      </c>
      <c r="G95" s="2">
        <v>141.61000000000001</v>
      </c>
      <c r="H95" s="4">
        <v>1.3436380296336203E-2</v>
      </c>
      <c r="I95" s="4">
        <v>1.1160408727087717E-2</v>
      </c>
      <c r="J95" s="3">
        <f>_xll.EWMA($H$3:H94,1,,1)</f>
        <v>2.6421499078705033E-2</v>
      </c>
      <c r="K95" s="21">
        <f t="shared" si="1"/>
        <v>2.3002512541255397E-2</v>
      </c>
    </row>
    <row r="96" spans="1:18" x14ac:dyDescent="0.25">
      <c r="A96" s="1">
        <v>39387</v>
      </c>
      <c r="B96" s="2">
        <v>153.29</v>
      </c>
      <c r="C96" s="2">
        <v>153.41</v>
      </c>
      <c r="D96" s="2">
        <v>140.66</v>
      </c>
      <c r="E96" s="2">
        <v>148.66</v>
      </c>
      <c r="F96" s="2">
        <v>271219900</v>
      </c>
      <c r="G96" s="2">
        <v>136.13</v>
      </c>
      <c r="H96" s="4">
        <v>-3.9466488710585779E-2</v>
      </c>
      <c r="I96" s="4">
        <v>6.2326617980829448E-3</v>
      </c>
      <c r="J96" s="3">
        <f>_xll.EWMA($H$3:H95,1,,1)</f>
        <v>2.5827157328674723E-2</v>
      </c>
      <c r="K96" s="21">
        <f t="shared" si="1"/>
        <v>2.7001024775260059E-2</v>
      </c>
    </row>
    <row r="97" spans="1:11" x14ac:dyDescent="0.25">
      <c r="A97" s="1">
        <v>39419</v>
      </c>
      <c r="B97" s="2">
        <v>148.19</v>
      </c>
      <c r="C97" s="2">
        <v>152.88999999999999</v>
      </c>
      <c r="D97" s="2">
        <v>143.96</v>
      </c>
      <c r="E97" s="2">
        <v>146.21</v>
      </c>
      <c r="F97" s="2">
        <v>170095700</v>
      </c>
      <c r="G97" s="2">
        <v>134.6</v>
      </c>
      <c r="H97" s="4">
        <v>-1.1302894313754308E-2</v>
      </c>
      <c r="I97" s="4">
        <v>4.1832526118841269E-3</v>
      </c>
      <c r="J97" s="3">
        <f>_xll.EWMA($H$3:H96,1,,1)</f>
        <v>2.6841679459524832E-2</v>
      </c>
      <c r="K97" s="21">
        <f t="shared" si="1"/>
        <v>2.7347755887403114E-2</v>
      </c>
    </row>
    <row r="98" spans="1:11" x14ac:dyDescent="0.25">
      <c r="A98" s="1">
        <v>39449</v>
      </c>
      <c r="B98" s="2">
        <v>146.53</v>
      </c>
      <c r="C98" s="2">
        <v>146.99</v>
      </c>
      <c r="D98" s="2">
        <v>126</v>
      </c>
      <c r="E98" s="2">
        <v>137.37</v>
      </c>
      <c r="F98" s="2">
        <v>307167300</v>
      </c>
      <c r="G98" s="2">
        <v>126.46</v>
      </c>
      <c r="H98" s="4">
        <v>-6.2381364580160081E-2</v>
      </c>
      <c r="I98" s="4">
        <v>-2.2558159386814776E-3</v>
      </c>
      <c r="J98" s="3">
        <f>_xll.EWMA($H$3:H97,1,,1)</f>
        <v>2.6170833689958727E-2</v>
      </c>
      <c r="K98" s="21">
        <f t="shared" si="1"/>
        <v>3.3091644476325392E-2</v>
      </c>
    </row>
    <row r="99" spans="1:11" x14ac:dyDescent="0.25">
      <c r="A99" s="1">
        <v>39479</v>
      </c>
      <c r="B99" s="2">
        <v>137.94</v>
      </c>
      <c r="C99" s="2">
        <v>139.61000000000001</v>
      </c>
      <c r="D99" s="2">
        <v>131.72999999999999</v>
      </c>
      <c r="E99" s="2">
        <v>133.82</v>
      </c>
      <c r="F99" s="2">
        <v>220182200</v>
      </c>
      <c r="G99" s="2">
        <v>123.19</v>
      </c>
      <c r="H99" s="4">
        <v>-2.6198173656584167E-2</v>
      </c>
      <c r="I99" s="4">
        <v>-2.7872388307780618E-3</v>
      </c>
      <c r="J99" s="3">
        <f>_xll.EWMA($H$3:H98,1,,1)</f>
        <v>2.9619315702406109E-2</v>
      </c>
      <c r="K99" s="21">
        <f t="shared" si="1"/>
        <v>3.3448650846435141E-2</v>
      </c>
    </row>
    <row r="100" spans="1:11" x14ac:dyDescent="0.25">
      <c r="A100" s="1">
        <v>39510</v>
      </c>
      <c r="B100" s="2">
        <v>133.13999999999999</v>
      </c>
      <c r="C100" s="2">
        <v>135.81</v>
      </c>
      <c r="D100" s="2">
        <v>126.07</v>
      </c>
      <c r="E100" s="2">
        <v>131.97</v>
      </c>
      <c r="F100" s="2">
        <v>281440600</v>
      </c>
      <c r="G100" s="2">
        <v>122.09</v>
      </c>
      <c r="H100" s="4">
        <v>-8.9694012931191835E-3</v>
      </c>
      <c r="I100" s="4">
        <v>-4.4973388358110098E-3</v>
      </c>
      <c r="J100" s="3">
        <f>_xll.EWMA($H$3:H99,1,,1)</f>
        <v>2.9425266168626334E-2</v>
      </c>
      <c r="K100" s="21">
        <f t="shared" si="1"/>
        <v>3.3172349530430793E-2</v>
      </c>
    </row>
    <row r="101" spans="1:11" x14ac:dyDescent="0.25">
      <c r="A101" s="1">
        <v>39539</v>
      </c>
      <c r="B101" s="2">
        <v>133.61000000000001</v>
      </c>
      <c r="C101" s="2">
        <v>140.59</v>
      </c>
      <c r="D101" s="2">
        <v>132.33000000000001</v>
      </c>
      <c r="E101" s="2">
        <v>138.26</v>
      </c>
      <c r="F101" s="2">
        <v>191956700</v>
      </c>
      <c r="G101" s="2">
        <v>127.91</v>
      </c>
      <c r="H101" s="4">
        <v>4.6568413930537567E-2</v>
      </c>
      <c r="I101" s="4">
        <v>-4.2298015118456718E-3</v>
      </c>
      <c r="J101" s="3">
        <f>_xll.EWMA($H$3:H100,1,,1)</f>
        <v>2.8613327686975793E-2</v>
      </c>
      <c r="K101" s="21">
        <f t="shared" si="1"/>
        <v>3.3603536736179683E-2</v>
      </c>
    </row>
    <row r="102" spans="1:11" x14ac:dyDescent="0.25">
      <c r="A102" s="1">
        <v>39569</v>
      </c>
      <c r="B102" s="2">
        <v>138.38</v>
      </c>
      <c r="C102" s="2">
        <v>144.30000000000001</v>
      </c>
      <c r="D102" s="2">
        <v>137.52000000000001</v>
      </c>
      <c r="E102" s="2">
        <v>140.35</v>
      </c>
      <c r="F102" s="2">
        <v>179255100</v>
      </c>
      <c r="G102" s="2">
        <v>129.84</v>
      </c>
      <c r="H102" s="4">
        <v>1.4976031595034023E-2</v>
      </c>
      <c r="I102" s="4">
        <v>-5.758818720620857E-3</v>
      </c>
      <c r="J102" s="3">
        <f>_xll.EWMA($H$3:H101,1,,1)</f>
        <v>2.9995269637115674E-2</v>
      </c>
      <c r="K102" s="21">
        <f t="shared" si="1"/>
        <v>3.2124301058709677E-2</v>
      </c>
    </row>
    <row r="103" spans="1:11" x14ac:dyDescent="0.25">
      <c r="A103" s="1">
        <v>39601</v>
      </c>
      <c r="B103" s="2">
        <v>139.83000000000001</v>
      </c>
      <c r="C103" s="2">
        <v>140.88999999999999</v>
      </c>
      <c r="D103" s="2">
        <v>127.04</v>
      </c>
      <c r="E103" s="2">
        <v>127.98</v>
      </c>
      <c r="F103" s="2">
        <v>269879800</v>
      </c>
      <c r="G103" s="2">
        <v>118.99</v>
      </c>
      <c r="H103" s="4">
        <v>-8.726346723927314E-2</v>
      </c>
      <c r="I103" s="4">
        <v>-1.1805927550100494E-2</v>
      </c>
      <c r="J103" s="3">
        <f>_xll.EWMA($H$3:H102,1,,1)</f>
        <v>2.9311945003824027E-2</v>
      </c>
      <c r="K103" s="21">
        <f t="shared" si="1"/>
        <v>3.9858800198526251E-2</v>
      </c>
    </row>
    <row r="104" spans="1:11" x14ac:dyDescent="0.25">
      <c r="A104" s="1">
        <v>39630</v>
      </c>
      <c r="B104" s="2">
        <v>126.52</v>
      </c>
      <c r="C104" s="2">
        <v>129.16</v>
      </c>
      <c r="D104" s="2">
        <v>120.02</v>
      </c>
      <c r="E104" s="2">
        <v>126.83</v>
      </c>
      <c r="F104" s="2">
        <v>337891300</v>
      </c>
      <c r="G104" s="2">
        <v>117.92</v>
      </c>
      <c r="H104" s="4">
        <v>-9.0330275260361859E-3</v>
      </c>
      <c r="I104" s="4">
        <v>-9.9094255809277776E-3</v>
      </c>
      <c r="J104" s="3">
        <f>_xll.EWMA($H$3:H103,1,,1)</f>
        <v>3.5560279464452386E-2</v>
      </c>
      <c r="K104" s="21">
        <f t="shared" si="1"/>
        <v>3.9359747156308064E-2</v>
      </c>
    </row>
    <row r="105" spans="1:11" x14ac:dyDescent="0.25">
      <c r="A105" s="1">
        <v>39661</v>
      </c>
      <c r="B105" s="2">
        <v>127.12</v>
      </c>
      <c r="C105" s="2">
        <v>131.51</v>
      </c>
      <c r="D105" s="2">
        <v>124.76</v>
      </c>
      <c r="E105" s="2">
        <v>128.79</v>
      </c>
      <c r="F105" s="2">
        <v>215877300</v>
      </c>
      <c r="G105" s="2">
        <v>119.74</v>
      </c>
      <c r="H105" s="4">
        <v>1.5316297056179984E-2</v>
      </c>
      <c r="I105" s="4">
        <v>-9.6929850186070095E-3</v>
      </c>
      <c r="J105" s="3">
        <f>_xll.EWMA($H$3:H104,1,,1)</f>
        <v>3.4547897218669105E-2</v>
      </c>
      <c r="K105" s="21">
        <f t="shared" si="1"/>
        <v>3.950237676607609E-2</v>
      </c>
    </row>
    <row r="106" spans="1:11" x14ac:dyDescent="0.25">
      <c r="A106" s="1">
        <v>39693</v>
      </c>
      <c r="B106" s="2">
        <v>130.03</v>
      </c>
      <c r="C106" s="2">
        <v>130.71</v>
      </c>
      <c r="D106" s="2">
        <v>110.53</v>
      </c>
      <c r="E106" s="2">
        <v>115.99</v>
      </c>
      <c r="F106" s="2">
        <v>401587700</v>
      </c>
      <c r="G106" s="2">
        <v>108.47</v>
      </c>
      <c r="H106" s="4">
        <v>-9.8849088445080113E-2</v>
      </c>
      <c r="I106" s="4">
        <v>-2.1097231907208764E-2</v>
      </c>
      <c r="J106" s="3">
        <f>_xll.EWMA($H$3:H105,1,,1)</f>
        <v>3.3704882545836146E-2</v>
      </c>
      <c r="K106" s="21">
        <f t="shared" si="1"/>
        <v>4.3981550354339059E-2</v>
      </c>
    </row>
    <row r="107" spans="1:11" x14ac:dyDescent="0.25">
      <c r="A107" s="1">
        <v>39722</v>
      </c>
      <c r="B107" s="2">
        <v>115.27</v>
      </c>
      <c r="C107" s="2">
        <v>116.69</v>
      </c>
      <c r="D107" s="2">
        <v>83.58</v>
      </c>
      <c r="E107" s="2">
        <v>96.83</v>
      </c>
      <c r="F107" s="2">
        <v>534504800</v>
      </c>
      <c r="G107" s="2">
        <v>90.55</v>
      </c>
      <c r="H107" s="4">
        <v>-0.18057145272270336</v>
      </c>
      <c r="I107" s="4">
        <v>-3.726455132546206E-2</v>
      </c>
      <c r="J107" s="3">
        <f>_xll.EWMA($H$3:H106,1,,1)</f>
        <v>4.0670953986454386E-2</v>
      </c>
      <c r="K107" s="21">
        <f t="shared" si="1"/>
        <v>6.2071084333796621E-2</v>
      </c>
    </row>
    <row r="108" spans="1:11" x14ac:dyDescent="0.25">
      <c r="A108" s="1">
        <v>39755</v>
      </c>
      <c r="B108" s="2">
        <v>96.78</v>
      </c>
      <c r="C108" s="2">
        <v>100.86</v>
      </c>
      <c r="D108" s="2">
        <v>74.34</v>
      </c>
      <c r="E108" s="2">
        <v>90.09</v>
      </c>
      <c r="F108" s="2">
        <v>467397100</v>
      </c>
      <c r="G108" s="2">
        <v>84.25</v>
      </c>
      <c r="H108" s="4">
        <v>-7.2113615096951911E-2</v>
      </c>
      <c r="I108" s="4">
        <v>-3.9985145190992569E-2</v>
      </c>
      <c r="J108" s="3">
        <f>_xll.EWMA($H$3:H107,1,,1)</f>
        <v>5.9255732892113014E-2</v>
      </c>
      <c r="K108" s="21">
        <f t="shared" si="1"/>
        <v>6.2886480524132912E-2</v>
      </c>
    </row>
    <row r="109" spans="1:11" x14ac:dyDescent="0.25">
      <c r="A109" s="1">
        <v>39783</v>
      </c>
      <c r="B109" s="2">
        <v>87.51</v>
      </c>
      <c r="C109" s="2">
        <v>92.43</v>
      </c>
      <c r="D109" s="2">
        <v>81.86</v>
      </c>
      <c r="E109" s="2">
        <v>90.24</v>
      </c>
      <c r="F109" s="2">
        <v>323359700</v>
      </c>
      <c r="G109" s="2">
        <v>85.07</v>
      </c>
      <c r="H109" s="4">
        <v>9.6858777553219255E-3</v>
      </c>
      <c r="I109" s="4">
        <v>-3.8236080851902887E-2</v>
      </c>
      <c r="J109" s="3">
        <f>_xll.EWMA($H$3:H108,1,,1)</f>
        <v>6.0104823239800292E-2</v>
      </c>
      <c r="K109" s="21">
        <f t="shared" si="1"/>
        <v>6.4038079617616997E-2</v>
      </c>
    </row>
    <row r="110" spans="1:11" x14ac:dyDescent="0.25">
      <c r="A110" s="1">
        <v>39815</v>
      </c>
      <c r="B110" s="2">
        <v>90.44</v>
      </c>
      <c r="C110" s="2">
        <v>94.45</v>
      </c>
      <c r="D110" s="2">
        <v>80.05</v>
      </c>
      <c r="E110" s="2">
        <v>82.83</v>
      </c>
      <c r="F110" s="2">
        <v>362760400</v>
      </c>
      <c r="G110" s="2">
        <v>78.09</v>
      </c>
      <c r="H110" s="4">
        <v>-8.5612439313209165E-2</v>
      </c>
      <c r="I110" s="4">
        <v>-4.017200374632364E-2</v>
      </c>
      <c r="J110" s="3">
        <f>_xll.EWMA($H$3:H109,1,,1)</f>
        <v>5.8322065839267405E-2</v>
      </c>
      <c r="K110" s="21">
        <f t="shared" si="1"/>
        <v>6.5175415817994409E-2</v>
      </c>
    </row>
    <row r="111" spans="1:11" x14ac:dyDescent="0.25">
      <c r="A111" s="1">
        <v>39846</v>
      </c>
      <c r="B111" s="2">
        <v>81.569999999999993</v>
      </c>
      <c r="C111" s="2">
        <v>87.74</v>
      </c>
      <c r="D111" s="2">
        <v>73.81</v>
      </c>
      <c r="E111" s="2">
        <v>73.930000000000007</v>
      </c>
      <c r="F111" s="2">
        <v>407663300</v>
      </c>
      <c r="G111" s="2">
        <v>69.7</v>
      </c>
      <c r="H111" s="4">
        <v>-0.11366168990810532</v>
      </c>
      <c r="I111" s="4">
        <v>-4.7460630100617067E-2</v>
      </c>
      <c r="J111" s="3">
        <f>_xll.EWMA($H$3:H110,1,,1)</f>
        <v>6.0308746860167198E-2</v>
      </c>
      <c r="K111" s="21">
        <f t="shared" si="1"/>
        <v>6.828693489621801E-2</v>
      </c>
    </row>
    <row r="112" spans="1:11" x14ac:dyDescent="0.25">
      <c r="A112" s="1">
        <v>39874</v>
      </c>
      <c r="B112" s="2">
        <v>72.52</v>
      </c>
      <c r="C112" s="2">
        <v>83.3</v>
      </c>
      <c r="D112" s="2">
        <v>67.099999999999994</v>
      </c>
      <c r="E112" s="2">
        <v>79.52</v>
      </c>
      <c r="F112" s="2">
        <v>417157600</v>
      </c>
      <c r="G112" s="2">
        <v>75.5</v>
      </c>
      <c r="H112" s="4">
        <v>7.9932338488500676E-2</v>
      </c>
      <c r="I112" s="4">
        <v>-4.0052151785482083E-2</v>
      </c>
      <c r="J112" s="3">
        <f>_xll.EWMA($H$3:H111,1,,1)</f>
        <v>6.476152435002655E-2</v>
      </c>
      <c r="K112" s="21">
        <f t="shared" si="1"/>
        <v>7.7096708685915644E-2</v>
      </c>
    </row>
    <row r="113" spans="1:11" x14ac:dyDescent="0.25">
      <c r="A113" s="1">
        <v>39904</v>
      </c>
      <c r="B113" s="2">
        <v>78.53</v>
      </c>
      <c r="C113" s="2">
        <v>89.02</v>
      </c>
      <c r="D113" s="2">
        <v>78.33</v>
      </c>
      <c r="E113" s="2">
        <v>87.42</v>
      </c>
      <c r="F113" s="2">
        <v>301163100</v>
      </c>
      <c r="G113" s="2">
        <v>83</v>
      </c>
      <c r="H113" s="4">
        <v>9.4707951541619373E-2</v>
      </c>
      <c r="I113" s="4">
        <v>-3.6040523651225266E-2</v>
      </c>
      <c r="J113" s="3">
        <f>_xll.EWMA($H$3:H112,1,,1)</f>
        <v>6.57705287963017E-2</v>
      </c>
      <c r="K113" s="21">
        <f t="shared" si="1"/>
        <v>8.3037216471415237E-2</v>
      </c>
    </row>
    <row r="114" spans="1:11" x14ac:dyDescent="0.25">
      <c r="A114" s="1">
        <v>39934</v>
      </c>
      <c r="B114" s="2">
        <v>87.44</v>
      </c>
      <c r="C114" s="2">
        <v>93.7</v>
      </c>
      <c r="D114" s="2">
        <v>86.72</v>
      </c>
      <c r="E114" s="2">
        <v>92.53</v>
      </c>
      <c r="F114" s="2">
        <v>272718800</v>
      </c>
      <c r="G114" s="2">
        <v>87.85</v>
      </c>
      <c r="H114" s="4">
        <v>5.6790206836508261E-2</v>
      </c>
      <c r="I114" s="4">
        <v>-3.2556009047769077E-2</v>
      </c>
      <c r="J114" s="3">
        <f>_xll.EWMA($H$3:H113,1,,1)</f>
        <v>6.7855673865705776E-2</v>
      </c>
      <c r="K114" s="21">
        <f t="shared" si="1"/>
        <v>8.6190131275390033E-2</v>
      </c>
    </row>
    <row r="115" spans="1:11" x14ac:dyDescent="0.25">
      <c r="A115" s="1">
        <v>39965</v>
      </c>
      <c r="B115" s="2">
        <v>93.67</v>
      </c>
      <c r="C115" s="2">
        <v>96.11</v>
      </c>
      <c r="D115" s="2">
        <v>88.85</v>
      </c>
      <c r="E115" s="2">
        <v>91.95</v>
      </c>
      <c r="F115" s="2">
        <v>240170100</v>
      </c>
      <c r="G115" s="2">
        <v>87.8</v>
      </c>
      <c r="H115" s="4">
        <v>-5.6931399203552502E-4</v>
      </c>
      <c r="I115" s="4">
        <v>-2.5331496277165948E-2</v>
      </c>
      <c r="J115" s="3">
        <f>_xll.EWMA($H$3:H114,1,,1)</f>
        <v>6.7243115504673684E-2</v>
      </c>
      <c r="K115" s="21">
        <f t="shared" si="1"/>
        <v>8.4809972442943207E-2</v>
      </c>
    </row>
    <row r="116" spans="1:11" x14ac:dyDescent="0.25">
      <c r="A116" s="1">
        <v>39995</v>
      </c>
      <c r="B116" s="2">
        <v>92.34</v>
      </c>
      <c r="C116" s="2">
        <v>99.83</v>
      </c>
      <c r="D116" s="2">
        <v>87</v>
      </c>
      <c r="E116" s="2">
        <v>98.81</v>
      </c>
      <c r="F116" s="2">
        <v>204691000</v>
      </c>
      <c r="G116" s="2">
        <v>94.35</v>
      </c>
      <c r="H116" s="4">
        <v>7.1949771173487775E-2</v>
      </c>
      <c r="I116" s="4">
        <v>-1.8582929718872279E-2</v>
      </c>
      <c r="J116" s="3">
        <f>_xll.EWMA($H$3:H115,1,,1)</f>
        <v>6.5194768462766131E-2</v>
      </c>
      <c r="K116" s="21">
        <f t="shared" si="1"/>
        <v>8.9326537230532133E-2</v>
      </c>
    </row>
    <row r="117" spans="1:11" x14ac:dyDescent="0.25">
      <c r="A117" s="1">
        <v>40028</v>
      </c>
      <c r="B117" s="2">
        <v>99.85</v>
      </c>
      <c r="C117" s="2">
        <v>104.35</v>
      </c>
      <c r="D117" s="2">
        <v>98.11</v>
      </c>
      <c r="E117" s="2">
        <v>102.46</v>
      </c>
      <c r="F117" s="2">
        <v>196839300</v>
      </c>
      <c r="G117" s="2">
        <v>97.83</v>
      </c>
      <c r="H117" s="4">
        <v>3.6220006654779091E-2</v>
      </c>
      <c r="I117" s="4">
        <v>-1.6840953918989026E-2</v>
      </c>
      <c r="J117" s="3">
        <f>_xll.EWMA($H$3:H116,1,,1)</f>
        <v>6.5619681034990565E-2</v>
      </c>
      <c r="K117" s="21">
        <f t="shared" si="1"/>
        <v>9.0246794600621086E-2</v>
      </c>
    </row>
    <row r="118" spans="1:11" x14ac:dyDescent="0.25">
      <c r="A118" s="1">
        <v>40057</v>
      </c>
      <c r="B118" s="2">
        <v>101.95</v>
      </c>
      <c r="C118" s="2">
        <v>108.06</v>
      </c>
      <c r="D118" s="2">
        <v>99.57</v>
      </c>
      <c r="E118" s="2">
        <v>105.59</v>
      </c>
      <c r="F118" s="2">
        <v>192016100</v>
      </c>
      <c r="G118" s="2">
        <v>101.3</v>
      </c>
      <c r="H118" s="4">
        <v>3.4855132785299503E-2</v>
      </c>
      <c r="I118" s="4">
        <v>-5.698935483124056E-3</v>
      </c>
      <c r="J118" s="3">
        <f>_xll.EWMA($H$3:H117,1,,1)</f>
        <v>6.4236277287138918E-2</v>
      </c>
      <c r="K118" s="21">
        <f t="shared" si="1"/>
        <v>8.741059829996671E-2</v>
      </c>
    </row>
    <row r="119" spans="1:11" x14ac:dyDescent="0.25">
      <c r="A119" s="1">
        <v>40087</v>
      </c>
      <c r="B119" s="2">
        <v>103</v>
      </c>
      <c r="C119" s="2">
        <v>110.31</v>
      </c>
      <c r="D119" s="2">
        <v>101.99</v>
      </c>
      <c r="E119" s="2">
        <v>103.56</v>
      </c>
      <c r="F119" s="2">
        <v>218514000</v>
      </c>
      <c r="G119" s="2">
        <v>99.35</v>
      </c>
      <c r="H119" s="4">
        <v>-1.9437442256811543E-2</v>
      </c>
      <c r="I119" s="4">
        <v>7.7288987223669281E-3</v>
      </c>
      <c r="J119" s="3">
        <f>_xll.EWMA($H$3:H118,1,,1)</f>
        <v>6.2861865844217824E-2</v>
      </c>
      <c r="K119" s="21">
        <f t="shared" si="1"/>
        <v>6.8418105094539161E-2</v>
      </c>
    </row>
    <row r="120" spans="1:11" x14ac:dyDescent="0.25">
      <c r="A120" s="1">
        <v>40119</v>
      </c>
      <c r="B120" s="2">
        <v>104.13</v>
      </c>
      <c r="C120" s="2">
        <v>111.74</v>
      </c>
      <c r="D120" s="2">
        <v>103.08</v>
      </c>
      <c r="E120" s="2">
        <v>109.94</v>
      </c>
      <c r="F120" s="2">
        <v>179587000</v>
      </c>
      <c r="G120" s="2">
        <v>105.47</v>
      </c>
      <c r="H120" s="4">
        <v>5.9777583290697045E-2</v>
      </c>
      <c r="I120" s="4">
        <v>1.8719831921337672E-2</v>
      </c>
      <c r="J120" s="3">
        <f>_xll.EWMA($H$3:H119,1,,1)</f>
        <v>6.1132529609534934E-2</v>
      </c>
      <c r="K120" s="21">
        <f t="shared" si="1"/>
        <v>6.4930759872131205E-2</v>
      </c>
    </row>
    <row r="121" spans="1:11" x14ac:dyDescent="0.25">
      <c r="A121" s="1">
        <v>40148</v>
      </c>
      <c r="B121" s="2">
        <v>110.92</v>
      </c>
      <c r="C121" s="2">
        <v>113.03</v>
      </c>
      <c r="D121" s="2">
        <v>109.02</v>
      </c>
      <c r="E121" s="2">
        <v>111.44</v>
      </c>
      <c r="F121" s="2">
        <v>135205600</v>
      </c>
      <c r="G121" s="2">
        <v>107.49</v>
      </c>
      <c r="H121" s="4">
        <v>1.8971267696449523E-2</v>
      </c>
      <c r="I121" s="4">
        <v>1.9493614416431639E-2</v>
      </c>
      <c r="J121" s="3">
        <f>_xll.EWMA($H$3:H120,1,,1)</f>
        <v>6.1052080830366451E-2</v>
      </c>
      <c r="K121" s="21">
        <f t="shared" si="1"/>
        <v>6.4868612225843073E-2</v>
      </c>
    </row>
    <row r="122" spans="1:11" x14ac:dyDescent="0.25">
      <c r="A122" s="1">
        <v>40182</v>
      </c>
      <c r="B122" s="2">
        <v>112.37</v>
      </c>
      <c r="C122" s="2">
        <v>115.14</v>
      </c>
      <c r="D122" s="2">
        <v>107.22</v>
      </c>
      <c r="E122" s="2">
        <v>107.39</v>
      </c>
      <c r="F122" s="2">
        <v>211448400</v>
      </c>
      <c r="G122" s="2">
        <v>103.58</v>
      </c>
      <c r="H122" s="4">
        <v>-3.7053558989226687E-2</v>
      </c>
      <c r="I122" s="4">
        <v>2.3540187776763508E-2</v>
      </c>
      <c r="J122" s="3">
        <f>_xll.EWMA($H$3:H121,1,,1)</f>
        <v>5.937431868388187E-2</v>
      </c>
      <c r="K122" s="21">
        <f t="shared" si="1"/>
        <v>5.8961550330548354E-2</v>
      </c>
    </row>
    <row r="123" spans="1:11" x14ac:dyDescent="0.25">
      <c r="A123" s="1">
        <v>40210</v>
      </c>
      <c r="B123" s="2">
        <v>108.15</v>
      </c>
      <c r="C123" s="2">
        <v>111.58</v>
      </c>
      <c r="D123" s="2">
        <v>104.58</v>
      </c>
      <c r="E123" s="2">
        <v>110.74</v>
      </c>
      <c r="F123" s="2">
        <v>243447400</v>
      </c>
      <c r="G123" s="2">
        <v>106.81</v>
      </c>
      <c r="H123" s="4">
        <v>3.0707294105858374E-2</v>
      </c>
      <c r="I123" s="4">
        <v>3.5570936444593818E-2</v>
      </c>
      <c r="J123" s="3">
        <f>_xll.EWMA($H$3:H122,1,,1)</f>
        <v>5.827666007975011E-2</v>
      </c>
      <c r="K123" s="21">
        <f t="shared" si="1"/>
        <v>4.0148875000627901E-2</v>
      </c>
    </row>
    <row r="124" spans="1:11" x14ac:dyDescent="0.25">
      <c r="A124" s="1">
        <v>40238</v>
      </c>
      <c r="B124" s="2">
        <v>111.2</v>
      </c>
      <c r="C124" s="2">
        <v>118.17</v>
      </c>
      <c r="D124" s="2">
        <v>111.17</v>
      </c>
      <c r="E124" s="2">
        <v>117</v>
      </c>
      <c r="F124" s="2">
        <v>176551500</v>
      </c>
      <c r="G124" s="2">
        <v>112.85</v>
      </c>
      <c r="H124" s="4">
        <v>5.5007948161940767E-2</v>
      </c>
      <c r="I124" s="4">
        <v>3.3493903917380496E-2</v>
      </c>
      <c r="J124" s="3">
        <f>_xll.EWMA($H$3:H123,1,,1)</f>
        <v>5.6999782790164356E-2</v>
      </c>
      <c r="K124" s="21">
        <f t="shared" si="1"/>
        <v>3.8244843343130351E-2</v>
      </c>
    </row>
    <row r="125" spans="1:11" x14ac:dyDescent="0.25">
      <c r="A125" s="1">
        <v>40269</v>
      </c>
      <c r="B125" s="2">
        <v>117.8</v>
      </c>
      <c r="C125" s="2">
        <v>122.12</v>
      </c>
      <c r="D125" s="2">
        <v>117.1</v>
      </c>
      <c r="E125" s="2">
        <v>118.81</v>
      </c>
      <c r="F125" s="2">
        <v>197956600</v>
      </c>
      <c r="G125" s="2">
        <v>114.6</v>
      </c>
      <c r="H125" s="4">
        <v>1.5388301017094541E-2</v>
      </c>
      <c r="I125" s="4">
        <v>2.6883933040336757E-2</v>
      </c>
      <c r="J125" s="3">
        <f>_xll.EWMA($H$3:H124,1,,1)</f>
        <v>5.6882239631519144E-2</v>
      </c>
      <c r="K125" s="21">
        <f t="shared" si="1"/>
        <v>3.3228822532201906E-2</v>
      </c>
    </row>
    <row r="126" spans="1:11" x14ac:dyDescent="0.25">
      <c r="A126" s="1">
        <v>40301</v>
      </c>
      <c r="B126" s="2">
        <v>119.38</v>
      </c>
      <c r="C126" s="2">
        <v>120.68</v>
      </c>
      <c r="D126" s="2">
        <v>104.38</v>
      </c>
      <c r="E126" s="2">
        <v>109.37</v>
      </c>
      <c r="F126" s="2">
        <v>385590600</v>
      </c>
      <c r="G126" s="2">
        <v>105.49</v>
      </c>
      <c r="H126" s="4">
        <v>-8.2831642586921994E-2</v>
      </c>
      <c r="I126" s="4">
        <v>1.524877892171757E-2</v>
      </c>
      <c r="J126" s="3">
        <f>_xll.EWMA($H$3:H125,1,,1)</f>
        <v>5.5278041054828232E-2</v>
      </c>
      <c r="K126" s="21">
        <f t="shared" si="1"/>
        <v>4.437884600708189E-2</v>
      </c>
    </row>
    <row r="127" spans="1:11" x14ac:dyDescent="0.25">
      <c r="A127" s="1">
        <v>40330</v>
      </c>
      <c r="B127" s="2">
        <v>108.35</v>
      </c>
      <c r="C127" s="2">
        <v>113.2</v>
      </c>
      <c r="D127" s="2">
        <v>102.88</v>
      </c>
      <c r="E127" s="2">
        <v>103.22</v>
      </c>
      <c r="F127" s="2">
        <v>272280000</v>
      </c>
      <c r="G127" s="2">
        <v>100.03</v>
      </c>
      <c r="H127" s="4">
        <v>-5.3146020696628327E-2</v>
      </c>
      <c r="I127" s="4">
        <v>1.0867386696334838E-2</v>
      </c>
      <c r="J127" s="3">
        <f>_xll.EWMA($H$3:H126,1,,1)</f>
        <v>5.7306081477506161E-2</v>
      </c>
      <c r="K127" s="21">
        <f t="shared" si="1"/>
        <v>4.8487654548289634E-2</v>
      </c>
    </row>
    <row r="128" spans="1:11" x14ac:dyDescent="0.25">
      <c r="A128" s="1">
        <v>40360</v>
      </c>
      <c r="B128" s="2">
        <v>103.15</v>
      </c>
      <c r="C128" s="2">
        <v>112.29</v>
      </c>
      <c r="D128" s="2">
        <v>101.13</v>
      </c>
      <c r="E128" s="2">
        <v>110.27</v>
      </c>
      <c r="F128" s="2">
        <v>235498600</v>
      </c>
      <c r="G128" s="2">
        <v>106.87</v>
      </c>
      <c r="H128" s="4">
        <v>6.6143001539716195E-2</v>
      </c>
      <c r="I128" s="4">
        <v>1.0383489226853872E-2</v>
      </c>
      <c r="J128" s="3">
        <f>_xll.EWMA($H$3:H127,1,,1)</f>
        <v>5.7065030682558714E-2</v>
      </c>
      <c r="K128" s="21">
        <f t="shared" si="1"/>
        <v>4.7847394819652188E-2</v>
      </c>
    </row>
    <row r="129" spans="1:11" x14ac:dyDescent="0.25">
      <c r="A129" s="1">
        <v>40392</v>
      </c>
      <c r="B129" s="2">
        <v>111.99</v>
      </c>
      <c r="C129" s="2">
        <v>113.18</v>
      </c>
      <c r="D129" s="2">
        <v>104.29</v>
      </c>
      <c r="E129" s="2">
        <v>105.31</v>
      </c>
      <c r="F129" s="2">
        <v>218904700</v>
      </c>
      <c r="G129" s="2">
        <v>102.06</v>
      </c>
      <c r="H129" s="4">
        <v>-4.6052266900979966E-2</v>
      </c>
      <c r="I129" s="4">
        <v>3.5274664305406183E-3</v>
      </c>
      <c r="J129" s="3">
        <f>_xll.EWMA($H$3:H128,1,,1)</f>
        <v>5.7650034365594786E-2</v>
      </c>
      <c r="K129" s="21">
        <f t="shared" si="1"/>
        <v>4.9668458488825971E-2</v>
      </c>
    </row>
    <row r="130" spans="1:11" x14ac:dyDescent="0.25">
      <c r="A130" s="1">
        <v>40422</v>
      </c>
      <c r="B130" s="2">
        <v>106.73</v>
      </c>
      <c r="C130" s="2">
        <v>115.79</v>
      </c>
      <c r="D130" s="2">
        <v>106.66</v>
      </c>
      <c r="E130" s="2">
        <v>114.13</v>
      </c>
      <c r="F130" s="2">
        <v>205845200</v>
      </c>
      <c r="G130" s="2">
        <v>111.2</v>
      </c>
      <c r="H130" s="4">
        <v>8.5769506180656485E-2</v>
      </c>
      <c r="I130" s="4">
        <v>7.7703308801537006E-3</v>
      </c>
      <c r="J130" s="3">
        <f>_xll.EWMA($H$3:H129,1,,1)</f>
        <v>5.7020729141393396E-2</v>
      </c>
      <c r="K130" s="21">
        <f t="shared" si="1"/>
        <v>5.4525074376498457E-2</v>
      </c>
    </row>
    <row r="131" spans="1:11" x14ac:dyDescent="0.25">
      <c r="A131" s="1">
        <v>40452</v>
      </c>
      <c r="B131" s="2">
        <v>114.99</v>
      </c>
      <c r="C131" s="2">
        <v>119.76</v>
      </c>
      <c r="D131" s="2">
        <v>113.18</v>
      </c>
      <c r="E131" s="2">
        <v>118.49</v>
      </c>
      <c r="F131" s="2">
        <v>186276000</v>
      </c>
      <c r="G131" s="2">
        <v>115.45</v>
      </c>
      <c r="H131" s="4">
        <v>3.7507153984022601E-2</v>
      </c>
      <c r="I131" s="4">
        <v>1.2515713900223213E-2</v>
      </c>
      <c r="J131" s="3">
        <f>_xll.EWMA($H$3:H130,1,,1)</f>
        <v>5.9141070586654083E-2</v>
      </c>
      <c r="K131" s="21">
        <f t="shared" si="1"/>
        <v>5.441975986594795E-2</v>
      </c>
    </row>
    <row r="132" spans="1:11" x14ac:dyDescent="0.25">
      <c r="A132" s="1">
        <v>40483</v>
      </c>
      <c r="B132" s="2">
        <v>119.07</v>
      </c>
      <c r="C132" s="2">
        <v>122.95</v>
      </c>
      <c r="D132" s="2">
        <v>117.59</v>
      </c>
      <c r="E132" s="2">
        <v>118.49</v>
      </c>
      <c r="F132" s="2">
        <v>200838500</v>
      </c>
      <c r="G132" s="2">
        <v>115.45</v>
      </c>
      <c r="H132" s="4">
        <v>0</v>
      </c>
      <c r="I132" s="4">
        <v>7.5342486259984591E-3</v>
      </c>
      <c r="J132" s="3">
        <f>_xll.EWMA($H$3:H131,1,,1)</f>
        <v>5.8070762456905421E-2</v>
      </c>
      <c r="K132" s="21">
        <f t="shared" si="1"/>
        <v>5.2398639593159609E-2</v>
      </c>
    </row>
    <row r="133" spans="1:11" x14ac:dyDescent="0.25">
      <c r="A133" s="1">
        <v>40513</v>
      </c>
      <c r="B133" s="2">
        <v>120.2</v>
      </c>
      <c r="C133" s="2">
        <v>126.2</v>
      </c>
      <c r="D133" s="2">
        <v>120.19</v>
      </c>
      <c r="E133" s="2">
        <v>125.75</v>
      </c>
      <c r="F133" s="2">
        <v>127907600</v>
      </c>
      <c r="G133" s="2">
        <v>123.17</v>
      </c>
      <c r="H133" s="4">
        <v>6.472797915288897E-2</v>
      </c>
      <c r="I133" s="4">
        <v>1.1347307914035078E-2</v>
      </c>
      <c r="J133" s="3">
        <f>_xll.EWMA($H$3:H132,1,,1)</f>
        <v>5.630169309342975E-2</v>
      </c>
      <c r="K133" s="21">
        <f t="shared" si="1"/>
        <v>5.4911197811564061E-2</v>
      </c>
    </row>
    <row r="134" spans="1:11" x14ac:dyDescent="0.25">
      <c r="A134" s="1">
        <v>40546</v>
      </c>
      <c r="B134" s="2">
        <v>126.71</v>
      </c>
      <c r="C134" s="2">
        <v>130.35</v>
      </c>
      <c r="D134" s="2">
        <v>125.7</v>
      </c>
      <c r="E134" s="2">
        <v>128.68</v>
      </c>
      <c r="F134" s="2">
        <v>150478100</v>
      </c>
      <c r="G134" s="2">
        <v>126.04</v>
      </c>
      <c r="H134" s="4">
        <v>2.3033801935680387E-2</v>
      </c>
      <c r="I134" s="4">
        <v>1.635458799111067E-2</v>
      </c>
      <c r="J134" s="3">
        <f>_xll.EWMA($H$3:H133,1,,1)</f>
        <v>5.6842505958028977E-2</v>
      </c>
      <c r="K134" s="21">
        <f t="shared" si="1"/>
        <v>5.2795223678933863E-2</v>
      </c>
    </row>
    <row r="135" spans="1:11" x14ac:dyDescent="0.25">
      <c r="A135" s="1">
        <v>40575</v>
      </c>
      <c r="B135" s="2">
        <v>129.46</v>
      </c>
      <c r="C135" s="2">
        <v>134.69</v>
      </c>
      <c r="D135" s="2">
        <v>129.38</v>
      </c>
      <c r="E135" s="2">
        <v>133.15</v>
      </c>
      <c r="F135" s="2">
        <v>155864500</v>
      </c>
      <c r="G135" s="2">
        <v>130.41</v>
      </c>
      <c r="H135" s="4">
        <v>3.4084016779736714E-2</v>
      </c>
      <c r="I135" s="4">
        <v>1.6635981547267194E-2</v>
      </c>
      <c r="J135" s="3">
        <f>_xll.EWMA($H$3:H134,1,,1)</f>
        <v>5.5398913495392443E-2</v>
      </c>
      <c r="K135" s="21">
        <f t="shared" si="1"/>
        <v>5.2887594662254754E-2</v>
      </c>
    </row>
    <row r="136" spans="1:11" x14ac:dyDescent="0.25">
      <c r="A136" s="1">
        <v>40603</v>
      </c>
      <c r="B136" s="2">
        <v>133.57</v>
      </c>
      <c r="C136" s="2">
        <v>133.69</v>
      </c>
      <c r="D136" s="2">
        <v>125.28</v>
      </c>
      <c r="E136" s="2">
        <v>132.59</v>
      </c>
      <c r="F136" s="2">
        <v>213912800</v>
      </c>
      <c r="G136" s="2">
        <v>130.43</v>
      </c>
      <c r="H136" s="4">
        <v>1.5335071338107298E-4</v>
      </c>
      <c r="I136" s="4">
        <v>1.2064765093220556E-2</v>
      </c>
      <c r="J136" s="3">
        <f>_xll.EWMA($H$3:H135,1,,1)</f>
        <v>5.4356236546253447E-2</v>
      </c>
      <c r="K136" s="21">
        <f t="shared" si="1"/>
        <v>5.1625039220447463E-2</v>
      </c>
    </row>
    <row r="137" spans="1:11" x14ac:dyDescent="0.25">
      <c r="A137" s="1">
        <v>40634</v>
      </c>
      <c r="B137" s="2">
        <v>133.41</v>
      </c>
      <c r="C137" s="2">
        <v>136.57</v>
      </c>
      <c r="D137" s="2">
        <v>129.51</v>
      </c>
      <c r="E137" s="2">
        <v>136.43</v>
      </c>
      <c r="F137" s="2">
        <v>146399300</v>
      </c>
      <c r="G137" s="2">
        <v>134.21</v>
      </c>
      <c r="H137" s="4">
        <v>2.8569053027522884E-2</v>
      </c>
      <c r="I137" s="4">
        <v>1.3163161094089585E-2</v>
      </c>
      <c r="J137" s="3">
        <f>_xll.EWMA($H$3:H136,1,,1)</f>
        <v>5.2700339992929848E-2</v>
      </c>
      <c r="K137" s="21">
        <f t="shared" si="1"/>
        <v>5.1841944551355941E-2</v>
      </c>
    </row>
    <row r="138" spans="1:11" x14ac:dyDescent="0.25">
      <c r="A138" s="1">
        <v>40665</v>
      </c>
      <c r="B138" s="2">
        <v>137.07</v>
      </c>
      <c r="C138" s="2">
        <v>137.18</v>
      </c>
      <c r="D138" s="2">
        <v>131.38</v>
      </c>
      <c r="E138" s="2">
        <v>134.9</v>
      </c>
      <c r="F138" s="2">
        <v>166778000</v>
      </c>
      <c r="G138" s="2">
        <v>132.69999999999999</v>
      </c>
      <c r="H138" s="4">
        <v>-1.131479607155228E-2</v>
      </c>
      <c r="I138" s="4">
        <v>1.9122898303703728E-2</v>
      </c>
      <c r="J138" s="3">
        <f>_xll.EWMA($H$3:H137,1,,1)</f>
        <v>5.1571869587029147E-2</v>
      </c>
      <c r="K138" s="21">
        <f t="shared" si="1"/>
        <v>4.3192387592638284E-2</v>
      </c>
    </row>
    <row r="139" spans="1:11" x14ac:dyDescent="0.25">
      <c r="A139" s="1">
        <v>40695</v>
      </c>
      <c r="B139" s="2">
        <v>134.51</v>
      </c>
      <c r="C139" s="2">
        <v>134.91999999999999</v>
      </c>
      <c r="D139" s="2">
        <v>126.19</v>
      </c>
      <c r="E139" s="2">
        <v>131.97</v>
      </c>
      <c r="F139" s="2">
        <v>224277400</v>
      </c>
      <c r="G139" s="2">
        <v>130.46</v>
      </c>
      <c r="H139" s="4">
        <v>-1.7024274970212083E-2</v>
      </c>
      <c r="I139" s="4">
        <v>2.2133043780905082E-2</v>
      </c>
      <c r="J139" s="3">
        <f>_xll.EWMA($H$3:H138,1,,1)</f>
        <v>5.0077537333098734E-2</v>
      </c>
      <c r="K139" s="21">
        <f t="shared" si="1"/>
        <v>3.8725720344460028E-2</v>
      </c>
    </row>
    <row r="140" spans="1:11" x14ac:dyDescent="0.25">
      <c r="A140" s="1">
        <v>40725</v>
      </c>
      <c r="B140" s="2">
        <v>132.09</v>
      </c>
      <c r="C140" s="2">
        <v>135.69999999999999</v>
      </c>
      <c r="D140" s="2">
        <v>127.97</v>
      </c>
      <c r="E140" s="2">
        <v>129.33000000000001</v>
      </c>
      <c r="F140" s="2">
        <v>207393800</v>
      </c>
      <c r="G140" s="2">
        <v>127.85</v>
      </c>
      <c r="H140" s="4">
        <v>-2.0208964630754167E-2</v>
      </c>
      <c r="I140" s="4">
        <v>1.493704660003255E-2</v>
      </c>
      <c r="J140" s="3">
        <f>_xll.EWMA($H$3:H139,1,,1)</f>
        <v>4.8730726620097788E-2</v>
      </c>
      <c r="K140" s="21">
        <f t="shared" si="1"/>
        <v>3.7816634588312831E-2</v>
      </c>
    </row>
    <row r="141" spans="1:11" x14ac:dyDescent="0.25">
      <c r="A141" s="1">
        <v>40756</v>
      </c>
      <c r="B141" s="2">
        <v>130.84</v>
      </c>
      <c r="C141" s="2">
        <v>130.96</v>
      </c>
      <c r="D141" s="2">
        <v>110.27</v>
      </c>
      <c r="E141" s="2">
        <v>122.22</v>
      </c>
      <c r="F141" s="2">
        <v>406620800</v>
      </c>
      <c r="G141" s="2">
        <v>120.82</v>
      </c>
      <c r="H141" s="4">
        <v>-5.6555867026601092E-2</v>
      </c>
      <c r="I141" s="4">
        <v>1.4061746589564128E-2</v>
      </c>
      <c r="J141" s="3">
        <f>_xll.EWMA($H$3:H140,1,,1)</f>
        <v>4.7504808482870121E-2</v>
      </c>
      <c r="K141" s="21">
        <f t="shared" si="1"/>
        <v>3.944319609911582E-2</v>
      </c>
    </row>
    <row r="142" spans="1:11" x14ac:dyDescent="0.25">
      <c r="A142" s="1">
        <v>40787</v>
      </c>
      <c r="B142" s="2">
        <v>122.29</v>
      </c>
      <c r="C142" s="2">
        <v>123.4</v>
      </c>
      <c r="D142" s="2">
        <v>111.3</v>
      </c>
      <c r="E142" s="2">
        <v>113.15</v>
      </c>
      <c r="F142" s="2">
        <v>308413100</v>
      </c>
      <c r="G142" s="2">
        <v>112.44</v>
      </c>
      <c r="H142" s="4">
        <v>-7.1882088672263755E-2</v>
      </c>
      <c r="I142" s="4">
        <v>9.241136851541043E-4</v>
      </c>
      <c r="J142" s="3">
        <f>_xll.EWMA($H$3:H141,1,,1)</f>
        <v>4.8095928985334657E-2</v>
      </c>
      <c r="K142" s="21">
        <f t="shared" si="1"/>
        <v>3.96422572488365E-2</v>
      </c>
    </row>
    <row r="143" spans="1:11" x14ac:dyDescent="0.25">
      <c r="A143" s="1">
        <v>40819</v>
      </c>
      <c r="B143" s="2">
        <v>112.49</v>
      </c>
      <c r="C143" s="2">
        <v>129.41999999999999</v>
      </c>
      <c r="D143" s="2">
        <v>107.43</v>
      </c>
      <c r="E143" s="2">
        <v>125.5</v>
      </c>
      <c r="F143" s="2">
        <v>283279500</v>
      </c>
      <c r="G143" s="2">
        <v>124.71</v>
      </c>
      <c r="H143" s="4">
        <v>0.10357129589432468</v>
      </c>
      <c r="I143" s="4">
        <v>6.4294588443459429E-3</v>
      </c>
      <c r="J143" s="3">
        <f>_xll.EWMA($H$3:H142,1,,1)</f>
        <v>4.9844230981908474E-2</v>
      </c>
      <c r="K143" s="21">
        <f t="shared" si="1"/>
        <v>4.8730253279684492E-2</v>
      </c>
    </row>
    <row r="144" spans="1:11" x14ac:dyDescent="0.25">
      <c r="A144" s="1">
        <v>40848</v>
      </c>
      <c r="B144" s="2">
        <v>122.03</v>
      </c>
      <c r="C144" s="2">
        <v>128.02000000000001</v>
      </c>
      <c r="D144" s="2">
        <v>116.2</v>
      </c>
      <c r="E144" s="2">
        <v>124.99</v>
      </c>
      <c r="F144" s="2">
        <v>254230300</v>
      </c>
      <c r="G144" s="2">
        <v>124.2</v>
      </c>
      <c r="H144" s="4">
        <v>-4.0978724332774163E-3</v>
      </c>
      <c r="I144" s="4">
        <v>6.0879694749061582E-3</v>
      </c>
      <c r="J144" s="3">
        <f>_xll.EWMA($H$3:H143,1,,1)</f>
        <v>5.4580228292312592E-2</v>
      </c>
      <c r="K144" s="21">
        <f t="shared" ref="K144:K147" si="2">STDEV(H133:H144)</f>
        <v>4.8793722411661092E-2</v>
      </c>
    </row>
    <row r="145" spans="1:11" x14ac:dyDescent="0.25">
      <c r="A145" s="1">
        <v>40878</v>
      </c>
      <c r="B145" s="2">
        <v>124.85</v>
      </c>
      <c r="C145" s="2">
        <v>127.26</v>
      </c>
      <c r="D145" s="2">
        <v>120.03</v>
      </c>
      <c r="E145" s="2">
        <v>125.5</v>
      </c>
      <c r="F145" s="2">
        <v>187820700</v>
      </c>
      <c r="G145" s="2">
        <v>125.5</v>
      </c>
      <c r="H145" s="4">
        <v>1.0412589072460676E-2</v>
      </c>
      <c r="I145" s="4">
        <v>1.5616869682038015E-3</v>
      </c>
      <c r="J145" s="3">
        <f>_xll.EWMA($H$3:H144,1,,1)</f>
        <v>5.2927013846647983E-2</v>
      </c>
      <c r="K145" s="21">
        <f t="shared" si="2"/>
        <v>4.5250118648073975E-2</v>
      </c>
    </row>
    <row r="146" spans="1:11" x14ac:dyDescent="0.25">
      <c r="A146" s="1">
        <v>40911</v>
      </c>
      <c r="B146" s="2">
        <v>127.76</v>
      </c>
      <c r="C146" s="2">
        <v>133.4</v>
      </c>
      <c r="D146" s="2">
        <v>126.43</v>
      </c>
      <c r="E146" s="2">
        <v>131.32</v>
      </c>
      <c r="F146" s="2">
        <v>152051600</v>
      </c>
      <c r="G146" s="2">
        <v>131.32</v>
      </c>
      <c r="H146" s="4">
        <v>4.5331334061552653E-2</v>
      </c>
      <c r="I146" s="4">
        <v>3.4198146453598239E-3</v>
      </c>
      <c r="J146" s="3">
        <f>_xll.EWMA($H$3:H145,1,,1)</f>
        <v>5.1377991277505072E-2</v>
      </c>
      <c r="K146" s="21">
        <f t="shared" si="2"/>
        <v>4.6648203939152998E-2</v>
      </c>
    </row>
    <row r="147" spans="1:11" x14ac:dyDescent="0.25">
      <c r="A147" s="1">
        <v>40940</v>
      </c>
      <c r="B147" s="2">
        <v>132.29</v>
      </c>
      <c r="C147" s="2">
        <v>134.62</v>
      </c>
      <c r="D147" s="2">
        <v>132.13</v>
      </c>
      <c r="E147" s="2">
        <v>134.44999999999999</v>
      </c>
      <c r="F147" s="2">
        <v>163775900</v>
      </c>
      <c r="G147" s="2">
        <v>134.44999999999999</v>
      </c>
      <c r="H147" s="4">
        <v>2.3555290081482383E-2</v>
      </c>
      <c r="I147" s="4">
        <v>2.5424207538386283E-3</v>
      </c>
      <c r="J147" s="3">
        <f>_xll.EWMA($H$3:H146,1,,1)</f>
        <v>5.1035398492778605E-2</v>
      </c>
      <c r="K147" s="21">
        <f t="shared" si="2"/>
        <v>4.6114985216055442E-2</v>
      </c>
    </row>
  </sheetData>
  <sortState ref="A2:G147">
    <sortCondition ref="A2:A147"/>
  </sortState>
  <pageMargins left="0.7" right="0.7" top="0.75" bottom="0.75" header="0.3" footer="0.3"/>
  <pageSetup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EL-Bawab</dc:creator>
  <cp:lastModifiedBy>Mohamad F. EL-Bawab</cp:lastModifiedBy>
  <dcterms:created xsi:type="dcterms:W3CDTF">2012-02-07T04:51:51Z</dcterms:created>
  <dcterms:modified xsi:type="dcterms:W3CDTF">2012-02-09T20:49:25Z</dcterms:modified>
</cp:coreProperties>
</file>