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60" windowWidth="24795" windowHeight="12270"/>
  </bookViews>
  <sheets>
    <sheet name="Sheet1" sheetId="1" r:id="rId1"/>
    <sheet name="Sheet2" sheetId="2" r:id="rId2"/>
    <sheet name="Sheet3" sheetId="3" r:id="rId3"/>
  </sheets>
  <definedNames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hs1" localSheetId="0" hidden="1">Sheet1!$L$74</definedName>
    <definedName name="solver_lin" localSheetId="0" hidden="1">2</definedName>
    <definedName name="solver_neg" localSheetId="0" hidden="1">2</definedName>
    <definedName name="solver_num" localSheetId="0" hidden="1">1</definedName>
    <definedName name="solver_nwt" localSheetId="0" hidden="1">1</definedName>
    <definedName name="solver_pre" localSheetId="0" hidden="1">0.000001</definedName>
    <definedName name="solver_rel1" localSheetId="0" hidden="1">3</definedName>
    <definedName name="solver_rhs1" localSheetId="0" hidden="1">0.99999</definedName>
    <definedName name="solver_scl" localSheetId="0" hidden="1">1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</definedNames>
  <calcPr calcId="125725"/>
</workbook>
</file>

<file path=xl/calcChain.xml><?xml version="1.0" encoding="utf-8"?>
<calcChain xmlns="http://schemas.openxmlformats.org/spreadsheetml/2006/main">
  <c r="S72" i="1"/>
  <c r="H28"/>
  <c r="I18"/>
  <c r="H11"/>
  <c r="H15"/>
  <c r="H19"/>
  <c r="G11"/>
  <c r="G16"/>
  <c r="J20"/>
  <c r="J16"/>
  <c r="J12"/>
  <c r="I20"/>
  <c r="I16"/>
  <c r="I12"/>
  <c r="I11"/>
  <c r="H10"/>
  <c r="H14"/>
  <c r="H18"/>
  <c r="G10"/>
  <c r="G15"/>
  <c r="G19"/>
  <c r="J19"/>
  <c r="J15"/>
  <c r="J11"/>
  <c r="I19"/>
  <c r="I15"/>
  <c r="I9"/>
  <c r="G20"/>
  <c r="H13"/>
  <c r="H17"/>
  <c r="H9"/>
  <c r="G13"/>
  <c r="G18"/>
  <c r="J18"/>
  <c r="J14"/>
  <c r="J10"/>
  <c r="I14"/>
  <c r="I10"/>
  <c r="G14"/>
  <c r="H12"/>
  <c r="H16"/>
  <c r="H20"/>
  <c r="G12"/>
  <c r="G17"/>
  <c r="G9"/>
  <c r="J17"/>
  <c r="J13"/>
  <c r="J9"/>
  <c r="I17"/>
  <c r="I13"/>
  <c r="I25" a="1"/>
  <c r="R76"/>
  <c r="P76"/>
  <c r="S74"/>
  <c r="Q74"/>
  <c r="O74"/>
  <c r="L74"/>
  <c r="J74"/>
  <c r="Q76"/>
  <c r="O76"/>
  <c r="R74"/>
  <c r="P74"/>
  <c r="K74"/>
  <c r="O67"/>
  <c r="R67"/>
  <c r="P67"/>
  <c r="U65"/>
  <c r="S65"/>
  <c r="Q65"/>
  <c r="O65"/>
  <c r="K65"/>
  <c r="Q67"/>
  <c r="T65"/>
  <c r="R65"/>
  <c r="P65"/>
  <c r="L65"/>
  <c r="J65"/>
  <c r="I25" l="1"/>
  <c r="I27"/>
  <c r="I26"/>
  <c r="K10"/>
  <c r="K20"/>
  <c r="K19"/>
  <c r="K18"/>
  <c r="K17"/>
  <c r="K16"/>
  <c r="K15"/>
  <c r="K14"/>
  <c r="K13"/>
  <c r="K12"/>
  <c r="K11"/>
  <c r="T23"/>
  <c r="M25"/>
  <c r="K9" l="1"/>
  <c r="E10"/>
  <c r="E11"/>
  <c r="E12"/>
  <c r="E13"/>
  <c r="E14"/>
  <c r="E15"/>
  <c r="E16"/>
  <c r="E17"/>
  <c r="E18"/>
  <c r="E19"/>
  <c r="E20"/>
  <c r="E9"/>
  <c r="T25"/>
  <c r="Q25"/>
  <c r="K25"/>
  <c r="R25"/>
  <c r="P25"/>
  <c r="S27"/>
  <c r="R27"/>
  <c r="S25"/>
  <c r="Q27"/>
  <c r="L25"/>
  <c r="P27"/>
</calcChain>
</file>

<file path=xl/sharedStrings.xml><?xml version="1.0" encoding="utf-8"?>
<sst xmlns="http://schemas.openxmlformats.org/spreadsheetml/2006/main" count="77" uniqueCount="42">
  <si>
    <t>Male</t>
  </si>
  <si>
    <t>Female</t>
  </si>
  <si>
    <t>Dose</t>
  </si>
  <si>
    <t>batch</t>
  </si>
  <si>
    <t>Batch</t>
  </si>
  <si>
    <t>Gender</t>
  </si>
  <si>
    <t>Death</t>
  </si>
  <si>
    <t>Param</t>
  </si>
  <si>
    <t>Value</t>
  </si>
  <si>
    <r>
      <t>β</t>
    </r>
    <r>
      <rPr>
        <b/>
        <vertAlign val="subscript"/>
        <sz val="11"/>
        <color theme="1"/>
        <rFont val="Calibri"/>
        <family val="2"/>
        <scheme val="minor"/>
      </rPr>
      <t>0</t>
    </r>
  </si>
  <si>
    <r>
      <t>β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</si>
  <si>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β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</si>
  <si>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φ</t>
  </si>
  <si>
    <t>Lvk</t>
  </si>
  <si>
    <t>AIC</t>
  </si>
  <si>
    <t>LLF</t>
  </si>
  <si>
    <t>CHECK</t>
  </si>
  <si>
    <t>Rate</t>
  </si>
  <si>
    <t>Goodness-of-fit</t>
  </si>
  <si>
    <t>Residuals (standardized) Analysis</t>
  </si>
  <si>
    <t>Target</t>
  </si>
  <si>
    <t>SIG?</t>
  </si>
  <si>
    <t>AVG</t>
  </si>
  <si>
    <t>STDEV</t>
  </si>
  <si>
    <t>SKEW</t>
  </si>
  <si>
    <t>KURTOSIS</t>
  </si>
  <si>
    <t>Normal?</t>
  </si>
  <si>
    <t>Mean</t>
  </si>
  <si>
    <t>STD</t>
  </si>
  <si>
    <t>GLM(2,3,20)</t>
  </si>
  <si>
    <t>UL</t>
  </si>
  <si>
    <t>LL</t>
  </si>
  <si>
    <t>Range</t>
  </si>
  <si>
    <t>Forecast</t>
  </si>
  <si>
    <t>Error</t>
  </si>
  <si>
    <t>ARMA(1,1)</t>
  </si>
  <si>
    <r>
      <t>φ</t>
    </r>
    <r>
      <rPr>
        <b/>
        <vertAlign val="subscript"/>
        <sz val="11"/>
        <color theme="1"/>
        <rFont val="Calibri"/>
        <family val="2"/>
        <scheme val="minor"/>
      </rPr>
      <t>0</t>
    </r>
  </si>
  <si>
    <r>
      <t>φ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</si>
  <si>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θ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</si>
  <si>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σ</t>
  </si>
  <si>
    <t>Noise?</t>
  </si>
  <si>
    <t>ARCH?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</si>
</sst>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0."/>
    <numFmt numFmtId="166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0" fillId="0" borderId="2" xfId="0" applyBorder="1"/>
    <xf numFmtId="0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1" fillId="2" borderId="3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0" fontId="0" fillId="0" borderId="0" xfId="1" applyNumberFormat="1" applyFont="1"/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9" fontId="0" fillId="0" borderId="0" xfId="1" applyNumberFormat="1" applyFont="1" applyAlignment="1">
      <alignment horizontal="center"/>
    </xf>
    <xf numFmtId="9" fontId="0" fillId="0" borderId="0" xfId="1" applyNumberFormat="1" applyFont="1"/>
    <xf numFmtId="9" fontId="0" fillId="0" borderId="0" xfId="0" applyNumberFormat="1"/>
    <xf numFmtId="166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0" xfId="0" applyNumberFormat="1"/>
    <xf numFmtId="165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Original Data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2393188656296011"/>
          <c:y val="5.1400554097404488E-2"/>
          <c:w val="0.84607494185178067"/>
          <c:h val="0.8326195683872849"/>
        </c:manualLayout>
      </c:layout>
      <c:scatterChart>
        <c:scatterStyle val="lineMarker"/>
        <c:ser>
          <c:idx val="0"/>
          <c:order val="0"/>
          <c:tx>
            <c:v>Males</c:v>
          </c:tx>
          <c:spPr>
            <a:ln w="28575">
              <a:noFill/>
            </a:ln>
          </c:spPr>
          <c:trendline>
            <c:trendlineType val="log"/>
          </c:trendline>
          <c:xVal>
            <c:numRef>
              <c:f>Sheet1!$B$9:$B$14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</c:numCache>
            </c:numRef>
          </c:xVal>
          <c:yVal>
            <c:numRef>
              <c:f>Sheet1!$E$9:$E$14</c:f>
              <c:numCache>
                <c:formatCode>0.0%</c:formatCode>
                <c:ptCount val="6"/>
                <c:pt idx="0">
                  <c:v>0.05</c:v>
                </c:pt>
                <c:pt idx="1">
                  <c:v>0.2</c:v>
                </c:pt>
                <c:pt idx="2">
                  <c:v>0.45</c:v>
                </c:pt>
                <c:pt idx="3">
                  <c:v>0.65</c:v>
                </c:pt>
                <c:pt idx="4">
                  <c:v>0.9</c:v>
                </c:pt>
                <c:pt idx="5">
                  <c:v>1</c:v>
                </c:pt>
              </c:numCache>
            </c:numRef>
          </c:yVal>
        </c:ser>
        <c:ser>
          <c:idx val="1"/>
          <c:order val="1"/>
          <c:tx>
            <c:v>Females</c:v>
          </c:tx>
          <c:spPr>
            <a:ln w="28575">
              <a:noFill/>
            </a:ln>
          </c:spPr>
          <c:marker>
            <c:symbol val="circle"/>
            <c:size val="7"/>
          </c:marker>
          <c:trendline>
            <c:trendlineType val="log"/>
          </c:trendline>
          <c:xVal>
            <c:numRef>
              <c:f>Sheet1!$B$15:$B$20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</c:numCache>
            </c:numRef>
          </c:xVal>
          <c:yVal>
            <c:numRef>
              <c:f>Sheet1!$E$15:$E$20</c:f>
              <c:numCache>
                <c:formatCode>0.0%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0.3</c:v>
                </c:pt>
                <c:pt idx="3">
                  <c:v>0.5</c:v>
                </c:pt>
                <c:pt idx="4">
                  <c:v>0.6</c:v>
                </c:pt>
                <c:pt idx="5">
                  <c:v>0.8</c:v>
                </c:pt>
              </c:numCache>
            </c:numRef>
          </c:yVal>
        </c:ser>
        <c:axId val="150235776"/>
        <c:axId val="150241664"/>
      </c:scatterChart>
      <c:valAx>
        <c:axId val="150235776"/>
        <c:scaling>
          <c:orientation val="minMax"/>
        </c:scaling>
        <c:axPos val="b"/>
        <c:numFmt formatCode="General" sourceLinked="1"/>
        <c:tickLblPos val="nextTo"/>
        <c:crossAx val="150241664"/>
        <c:crosses val="autoZero"/>
        <c:crossBetween val="midCat"/>
      </c:valAx>
      <c:valAx>
        <c:axId val="150241664"/>
        <c:scaling>
          <c:orientation val="minMax"/>
        </c:scaling>
        <c:axPos val="l"/>
        <c:numFmt formatCode="0.0%" sourceLinked="1"/>
        <c:tickLblPos val="nextTo"/>
        <c:crossAx val="150235776"/>
        <c:crosses val="autoZero"/>
        <c:crossBetween val="midCat"/>
      </c:valAx>
      <c:spPr>
        <a:noFill/>
        <a:ln>
          <a:noFill/>
        </a:ln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7473264871017424"/>
          <c:y val="0.54166666666666652"/>
          <c:w val="0.20716883690509574"/>
          <c:h val="8.3139831658973665E-2"/>
        </c:manualLayout>
      </c:layout>
    </c:legend>
    <c:plotVisOnly val="1"/>
  </c:chart>
  <c:spPr>
    <a:noFill/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Forecast Error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9.1849518810148634E-2"/>
          <c:y val="0.14862277631962667"/>
          <c:w val="0.88420603674540688"/>
          <c:h val="0.73539734616506269"/>
        </c:manualLayout>
      </c:layout>
      <c:lineChart>
        <c:grouping val="standard"/>
        <c:ser>
          <c:idx val="0"/>
          <c:order val="0"/>
          <c:tx>
            <c:v>Male</c:v>
          </c:tx>
          <c:marker>
            <c:symbol val="none"/>
          </c:marker>
          <c:cat>
            <c:numRef>
              <c:f>Sheet1!$B$9:$B$14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</c:numCache>
            </c:numRef>
          </c:cat>
          <c:val>
            <c:numRef>
              <c:f>Sheet1!$H$9:$H$14</c:f>
              <c:numCache>
                <c:formatCode>0%</c:formatCode>
                <c:ptCount val="6"/>
                <c:pt idx="0">
                  <c:v>0.1046796003889032</c:v>
                </c:pt>
                <c:pt idx="1">
                  <c:v>0.10653686713104187</c:v>
                </c:pt>
                <c:pt idx="2">
                  <c:v>0.10954364103114841</c:v>
                </c:pt>
                <c:pt idx="3">
                  <c:v>0.11174255654684558</c:v>
                </c:pt>
                <c:pt idx="4">
                  <c:v>9.4063699838993445E-2</c:v>
                </c:pt>
                <c:pt idx="5">
                  <c:v>1.0980246073355406E-2</c:v>
                </c:pt>
              </c:numCache>
            </c:numRef>
          </c:val>
          <c:smooth val="1"/>
        </c:ser>
        <c:ser>
          <c:idx val="1"/>
          <c:order val="1"/>
          <c:tx>
            <c:v>Female</c:v>
          </c:tx>
          <c:marker>
            <c:symbol val="none"/>
          </c:marker>
          <c:val>
            <c:numRef>
              <c:f>Sheet1!$H$15:$H$20</c:f>
              <c:numCache>
                <c:formatCode>0%</c:formatCode>
                <c:ptCount val="6"/>
                <c:pt idx="0">
                  <c:v>8.0463609050893239E-2</c:v>
                </c:pt>
                <c:pt idx="1">
                  <c:v>8.313949288393041E-2</c:v>
                </c:pt>
                <c:pt idx="2">
                  <c:v>8.8477819223188259E-2</c:v>
                </c:pt>
                <c:pt idx="3">
                  <c:v>9.8643791772691433E-2</c:v>
                </c:pt>
                <c:pt idx="4">
                  <c:v>0.11150078254037075</c:v>
                </c:pt>
                <c:pt idx="5">
                  <c:v>6.0025600201138132E-2</c:v>
                </c:pt>
              </c:numCache>
            </c:numRef>
          </c:val>
          <c:smooth val="1"/>
        </c:ser>
        <c:marker val="1"/>
        <c:axId val="150405888"/>
        <c:axId val="150407424"/>
      </c:lineChart>
      <c:catAx>
        <c:axId val="150405888"/>
        <c:scaling>
          <c:orientation val="minMax"/>
        </c:scaling>
        <c:axPos val="b"/>
        <c:numFmt formatCode="General" sourceLinked="1"/>
        <c:tickLblPos val="nextTo"/>
        <c:crossAx val="150407424"/>
        <c:crosses val="autoZero"/>
        <c:auto val="1"/>
        <c:lblAlgn val="ctr"/>
        <c:lblOffset val="100"/>
      </c:catAx>
      <c:valAx>
        <c:axId val="150407424"/>
        <c:scaling>
          <c:orientation val="minMax"/>
        </c:scaling>
        <c:axPos val="l"/>
        <c:numFmt formatCode="0%" sourceLinked="1"/>
        <c:tickLblPos val="nextTo"/>
        <c:crossAx val="15040588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2050000000000002"/>
          <c:y val="0.66165317876932062"/>
          <c:w val="0.16561111111111121"/>
          <c:h val="0.16743438320209994"/>
        </c:manualLayout>
      </c:layout>
    </c:legend>
    <c:plotVisOnly val="1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Males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88843061283996"/>
          <c:y val="4.2141294838145306E-2"/>
          <c:w val="0.87001104028663079"/>
          <c:h val="0.8326195683872849"/>
        </c:manualLayout>
      </c:layout>
      <c:areaChart>
        <c:grouping val="stacked"/>
        <c:ser>
          <c:idx val="0"/>
          <c:order val="0"/>
          <c:spPr>
            <a:noFill/>
            <a:ln>
              <a:noFill/>
            </a:ln>
          </c:spPr>
          <c:cat>
            <c:numRef>
              <c:f>Sheet1!$B$9:$B$14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</c:numCache>
            </c:numRef>
          </c:cat>
          <c:val>
            <c:numRef>
              <c:f>Sheet1!$J$9:$J$14</c:f>
              <c:numCache>
                <c:formatCode>0%</c:formatCode>
                <c:ptCount val="6"/>
                <c:pt idx="0">
                  <c:v>0.10366887123556587</c:v>
                </c:pt>
                <c:pt idx="1">
                  <c:v>0.1186992372815882</c:v>
                </c:pt>
                <c:pt idx="2">
                  <c:v>0.16290238576704538</c:v>
                </c:pt>
                <c:pt idx="3">
                  <c:v>0.26890053551243664</c:v>
                </c:pt>
                <c:pt idx="4">
                  <c:v>0.55065823411461723</c:v>
                </c:pt>
                <c:pt idx="5">
                  <c:v>0.9259056617296697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rgbClr val="4F81BD">
                    <a:tint val="66000"/>
                    <a:satMod val="160000"/>
                  </a:srgbClr>
                </a:gs>
                <a:gs pos="50000">
                  <a:srgbClr val="4F81BD">
                    <a:tint val="44500"/>
                    <a:satMod val="160000"/>
                  </a:srgbClr>
                </a:gs>
                <a:gs pos="100000">
                  <a:srgbClr val="4F81BD">
                    <a:tint val="23500"/>
                    <a:satMod val="160000"/>
                  </a:srgbClr>
                </a:gs>
              </a:gsLst>
              <a:lin ang="5400000" scaled="1"/>
            </a:gradFill>
            <a:ln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1"/>
                <a:tileRect/>
              </a:gradFill>
            </a:ln>
          </c:spPr>
          <c:cat>
            <c:numRef>
              <c:f>Sheet1!$B$9:$B$14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</c:numCache>
            </c:numRef>
          </c:cat>
          <c:val>
            <c:numRef>
              <c:f>Sheet1!$K$9:$K$14</c:f>
              <c:numCache>
                <c:formatCode>0%</c:formatCode>
                <c:ptCount val="6"/>
                <c:pt idx="0">
                  <c:v>0.41057009528092003</c:v>
                </c:pt>
                <c:pt idx="1">
                  <c:v>0.42183422450761826</c:v>
                </c:pt>
                <c:pt idx="2">
                  <c:v>0.43148965823978946</c:v>
                </c:pt>
                <c:pt idx="3">
                  <c:v>0.44137621332332577</c:v>
                </c:pt>
                <c:pt idx="4">
                  <c:v>0.36895014351205579</c:v>
                </c:pt>
                <c:pt idx="5">
                  <c:v>7.278234803637984E-2</c:v>
                </c:pt>
              </c:numCache>
            </c:numRef>
          </c:val>
        </c:ser>
        <c:axId val="150438656"/>
        <c:axId val="150440192"/>
      </c:areaChart>
      <c:lineChart>
        <c:grouping val="standard"/>
        <c:ser>
          <c:idx val="2"/>
          <c:order val="2"/>
          <c:tx>
            <c:v>Forecast</c:v>
          </c:tx>
          <c:marker>
            <c:symbol val="none"/>
          </c:marker>
          <c:val>
            <c:numRef>
              <c:f>Sheet1!$G$9:$G$14</c:f>
              <c:numCache>
                <c:formatCode>0%</c:formatCode>
                <c:ptCount val="6"/>
                <c:pt idx="0">
                  <c:v>0.32437646727049707</c:v>
                </c:pt>
                <c:pt idx="1">
                  <c:v>0.34834935266193345</c:v>
                </c:pt>
                <c:pt idx="2">
                  <c:v>0.39998093085427167</c:v>
                </c:pt>
                <c:pt idx="3">
                  <c:v>0.51649306301147324</c:v>
                </c:pt>
                <c:pt idx="4">
                  <c:v>0.77025988872193907</c:v>
                </c:pt>
                <c:pt idx="5">
                  <c:v>0.9975828412670309</c:v>
                </c:pt>
              </c:numCache>
            </c:numRef>
          </c:val>
          <c:smooth val="1"/>
        </c:ser>
        <c:ser>
          <c:idx val="3"/>
          <c:order val="3"/>
          <c:tx>
            <c:v>Data</c:v>
          </c:tx>
          <c:spPr>
            <a:ln>
              <a:noFill/>
            </a:ln>
          </c:spPr>
          <c:marker>
            <c:symbol val="circle"/>
            <c:size val="5"/>
          </c:marker>
          <c:val>
            <c:numRef>
              <c:f>Sheet1!$E$9:$E$14</c:f>
              <c:numCache>
                <c:formatCode>0.0%</c:formatCode>
                <c:ptCount val="6"/>
                <c:pt idx="0">
                  <c:v>0.05</c:v>
                </c:pt>
                <c:pt idx="1">
                  <c:v>0.2</c:v>
                </c:pt>
                <c:pt idx="2">
                  <c:v>0.45</c:v>
                </c:pt>
                <c:pt idx="3">
                  <c:v>0.65</c:v>
                </c:pt>
                <c:pt idx="4">
                  <c:v>0.9</c:v>
                </c:pt>
                <c:pt idx="5">
                  <c:v>1</c:v>
                </c:pt>
              </c:numCache>
            </c:numRef>
          </c:val>
        </c:ser>
        <c:marker val="1"/>
        <c:axId val="150438656"/>
        <c:axId val="150440192"/>
      </c:lineChart>
      <c:catAx>
        <c:axId val="150438656"/>
        <c:scaling>
          <c:orientation val="minMax"/>
        </c:scaling>
        <c:axPos val="b"/>
        <c:numFmt formatCode="General" sourceLinked="1"/>
        <c:tickLblPos val="nextTo"/>
        <c:crossAx val="150440192"/>
        <c:crosses val="autoZero"/>
        <c:auto val="1"/>
        <c:lblAlgn val="ctr"/>
        <c:lblOffset val="100"/>
      </c:catAx>
      <c:valAx>
        <c:axId val="150440192"/>
        <c:scaling>
          <c:orientation val="minMax"/>
          <c:max val="1"/>
        </c:scaling>
        <c:axPos val="l"/>
        <c:numFmt formatCode="0%" sourceLinked="0"/>
        <c:tickLblPos val="nextTo"/>
        <c:crossAx val="150438656"/>
        <c:crosses val="autoZero"/>
        <c:crossBetween val="between"/>
      </c:valAx>
      <c:spPr>
        <a:noFill/>
        <a:ln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/>
    </c:legend>
    <c:plotVisOnly val="1"/>
    <c:dispBlanksAs val="zero"/>
  </c:chart>
  <c:spPr>
    <a:noFill/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Females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593285214348212"/>
          <c:y val="5.1400554097404488E-2"/>
          <c:w val="0.87848381452318547"/>
          <c:h val="0.8326195683872849"/>
        </c:manualLayout>
      </c:layout>
      <c:areaChart>
        <c:grouping val="stacked"/>
        <c:ser>
          <c:idx val="0"/>
          <c:order val="0"/>
          <c:spPr>
            <a:noFill/>
            <a:ln>
              <a:noFill/>
            </a:ln>
          </c:spPr>
          <c:cat>
            <c:numRef>
              <c:f>Sheet1!$B$9:$B$14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</c:numCache>
            </c:numRef>
          </c:cat>
          <c:val>
            <c:numRef>
              <c:f>Sheet1!$J$15:$J$20</c:f>
              <c:numCache>
                <c:formatCode>0%</c:formatCode>
                <c:ptCount val="6"/>
                <c:pt idx="0">
                  <c:v>5.8314932082500495E-4</c:v>
                </c:pt>
                <c:pt idx="1">
                  <c:v>8.7121951297342015E-5</c:v>
                </c:pt>
                <c:pt idx="2">
                  <c:v>9.1500543425408806E-3</c:v>
                </c:pt>
                <c:pt idx="3">
                  <c:v>5.7109843673485719E-2</c:v>
                </c:pt>
                <c:pt idx="4">
                  <c:v>0.21861050755581143</c:v>
                </c:pt>
                <c:pt idx="5">
                  <c:v>0.75840194331070687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rgbClr val="4F81BD">
                    <a:tint val="66000"/>
                    <a:satMod val="160000"/>
                  </a:srgbClr>
                </a:gs>
                <a:gs pos="50000">
                  <a:srgbClr val="4F81BD">
                    <a:tint val="44500"/>
                    <a:satMod val="160000"/>
                  </a:srgbClr>
                </a:gs>
                <a:gs pos="100000">
                  <a:srgbClr val="4F81BD">
                    <a:tint val="23500"/>
                    <a:satMod val="160000"/>
                  </a:srgbClr>
                </a:gs>
              </a:gsLst>
              <a:lin ang="5400000" scaled="1"/>
            </a:gradFill>
          </c:spPr>
          <c:cat>
            <c:numRef>
              <c:f>Sheet1!$B$9:$B$14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</c:numCache>
            </c:numRef>
          </c:cat>
          <c:val>
            <c:numRef>
              <c:f>Sheet1!$K$15:$K$20</c:f>
              <c:numCache>
                <c:formatCode>0%</c:formatCode>
                <c:ptCount val="6"/>
                <c:pt idx="0">
                  <c:v>0.2985316819982301</c:v>
                </c:pt>
                <c:pt idx="1">
                  <c:v>0.32190318258355033</c:v>
                </c:pt>
                <c:pt idx="2">
                  <c:v>0.34710325002861964</c:v>
                </c:pt>
                <c:pt idx="3">
                  <c:v>0.38700644959032221</c:v>
                </c:pt>
                <c:pt idx="4">
                  <c:v>0.44004369931191689</c:v>
                </c:pt>
                <c:pt idx="5">
                  <c:v>0.23523133853993927</c:v>
                </c:pt>
              </c:numCache>
            </c:numRef>
          </c:val>
        </c:ser>
        <c:axId val="150808064"/>
        <c:axId val="150809600"/>
      </c:areaChart>
      <c:lineChart>
        <c:grouping val="standard"/>
        <c:ser>
          <c:idx val="2"/>
          <c:order val="2"/>
          <c:tx>
            <c:v>Forecast</c:v>
          </c:tx>
          <c:marker>
            <c:symbol val="none"/>
          </c:marker>
          <c:val>
            <c:numRef>
              <c:f>Sheet1!$G$15:$G$20</c:f>
              <c:numCache>
                <c:formatCode>0%</c:formatCode>
                <c:ptCount val="6"/>
                <c:pt idx="0">
                  <c:v>0.15285139728050146</c:v>
                </c:pt>
                <c:pt idx="1">
                  <c:v>0.16569999332925867</c:v>
                </c:pt>
                <c:pt idx="2">
                  <c:v>0.19433104490286168</c:v>
                </c:pt>
                <c:pt idx="3">
                  <c:v>0.26465334739130475</c:v>
                </c:pt>
                <c:pt idx="4">
                  <c:v>0.46323711303911197</c:v>
                </c:pt>
                <c:pt idx="5">
                  <c:v>0.92182762641849636</c:v>
                </c:pt>
              </c:numCache>
            </c:numRef>
          </c:val>
          <c:smooth val="1"/>
        </c:ser>
        <c:ser>
          <c:idx val="3"/>
          <c:order val="3"/>
          <c:tx>
            <c:v>Data</c:v>
          </c:tx>
          <c:spPr>
            <a:ln>
              <a:noFill/>
            </a:ln>
          </c:spPr>
          <c:marker>
            <c:symbol val="circle"/>
            <c:size val="5"/>
          </c:marker>
          <c:val>
            <c:numRef>
              <c:f>Sheet1!$E$15:$E$20</c:f>
              <c:numCache>
                <c:formatCode>0.0%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0.3</c:v>
                </c:pt>
                <c:pt idx="3">
                  <c:v>0.5</c:v>
                </c:pt>
                <c:pt idx="4">
                  <c:v>0.6</c:v>
                </c:pt>
                <c:pt idx="5">
                  <c:v>0.8</c:v>
                </c:pt>
              </c:numCache>
            </c:numRef>
          </c:val>
        </c:ser>
        <c:marker val="1"/>
        <c:axId val="150808064"/>
        <c:axId val="150809600"/>
      </c:lineChart>
      <c:catAx>
        <c:axId val="150808064"/>
        <c:scaling>
          <c:orientation val="minMax"/>
        </c:scaling>
        <c:axPos val="b"/>
        <c:numFmt formatCode="General" sourceLinked="1"/>
        <c:tickLblPos val="nextTo"/>
        <c:crossAx val="150809600"/>
        <c:crosses val="autoZero"/>
        <c:auto val="1"/>
        <c:lblAlgn val="ctr"/>
        <c:lblOffset val="100"/>
      </c:catAx>
      <c:valAx>
        <c:axId val="150809600"/>
        <c:scaling>
          <c:orientation val="minMax"/>
          <c:max val="1"/>
        </c:scaling>
        <c:axPos val="l"/>
        <c:numFmt formatCode="0%" sourceLinked="0"/>
        <c:tickLblPos val="nextTo"/>
        <c:crossAx val="150808064"/>
        <c:crosses val="autoZero"/>
        <c:crossBetween val="between"/>
      </c:valAx>
      <c:spPr>
        <a:noFill/>
        <a:ln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7608333333333342"/>
          <c:y val="0.26350503062117214"/>
          <c:w val="0.17947222222222231"/>
          <c:h val="0.16743438320209991"/>
        </c:manualLayout>
      </c:layout>
    </c:legend>
    <c:plotVisOnly val="1"/>
    <c:dispBlanksAs val="zero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0593285214348212"/>
          <c:y val="5.1400554097404488E-2"/>
          <c:w val="0.87037270341207362"/>
          <c:h val="0.8326195683872849"/>
        </c:manualLayout>
      </c:layout>
      <c:lineChart>
        <c:grouping val="standard"/>
        <c:ser>
          <c:idx val="0"/>
          <c:order val="0"/>
          <c:tx>
            <c:v>Males</c:v>
          </c:tx>
          <c:marker>
            <c:symbol val="none"/>
          </c:marker>
          <c:cat>
            <c:numRef>
              <c:f>Sheet1!$B$9:$B$14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</c:numCache>
            </c:numRef>
          </c:cat>
          <c:val>
            <c:numRef>
              <c:f>Sheet1!$G$9:$G$14</c:f>
              <c:numCache>
                <c:formatCode>0%</c:formatCode>
                <c:ptCount val="6"/>
                <c:pt idx="0">
                  <c:v>0.32437646727049707</c:v>
                </c:pt>
                <c:pt idx="1">
                  <c:v>0.34834935266193345</c:v>
                </c:pt>
                <c:pt idx="2">
                  <c:v>0.39998093085427167</c:v>
                </c:pt>
                <c:pt idx="3">
                  <c:v>0.51649306301147324</c:v>
                </c:pt>
                <c:pt idx="4">
                  <c:v>0.77025988872193907</c:v>
                </c:pt>
                <c:pt idx="5">
                  <c:v>0.9975828412670309</c:v>
                </c:pt>
              </c:numCache>
            </c:numRef>
          </c:val>
          <c:smooth val="1"/>
        </c:ser>
        <c:ser>
          <c:idx val="1"/>
          <c:order val="1"/>
          <c:tx>
            <c:v>Females</c:v>
          </c:tx>
          <c:marker>
            <c:symbol val="none"/>
          </c:marker>
          <c:cat>
            <c:numRef>
              <c:f>Sheet1!$B$9:$B$14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</c:numCache>
            </c:numRef>
          </c:cat>
          <c:val>
            <c:numRef>
              <c:f>Sheet1!$G$15:$G$20</c:f>
              <c:numCache>
                <c:formatCode>0%</c:formatCode>
                <c:ptCount val="6"/>
                <c:pt idx="0">
                  <c:v>0.15285139728050146</c:v>
                </c:pt>
                <c:pt idx="1">
                  <c:v>0.16569999332925867</c:v>
                </c:pt>
                <c:pt idx="2">
                  <c:v>0.19433104490286168</c:v>
                </c:pt>
                <c:pt idx="3">
                  <c:v>0.26465334739130475</c:v>
                </c:pt>
                <c:pt idx="4">
                  <c:v>0.46323711303911197</c:v>
                </c:pt>
                <c:pt idx="5">
                  <c:v>0.92182762641849636</c:v>
                </c:pt>
              </c:numCache>
            </c:numRef>
          </c:val>
          <c:smooth val="1"/>
        </c:ser>
        <c:marker val="1"/>
        <c:axId val="150835584"/>
        <c:axId val="150837120"/>
      </c:lineChart>
      <c:catAx>
        <c:axId val="150835584"/>
        <c:scaling>
          <c:orientation val="minMax"/>
        </c:scaling>
        <c:axPos val="b"/>
        <c:numFmt formatCode="General" sourceLinked="1"/>
        <c:tickLblPos val="nextTo"/>
        <c:crossAx val="150837120"/>
        <c:crosses val="autoZero"/>
        <c:auto val="1"/>
        <c:lblAlgn val="ctr"/>
        <c:lblOffset val="100"/>
      </c:catAx>
      <c:valAx>
        <c:axId val="150837120"/>
        <c:scaling>
          <c:orientation val="minMax"/>
          <c:max val="1"/>
        </c:scaling>
        <c:axPos val="l"/>
        <c:numFmt formatCode="0%" sourceLinked="1"/>
        <c:tickLblPos val="nextTo"/>
        <c:crossAx val="150835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8186111111111131"/>
          <c:y val="0.34683836395450618"/>
          <c:w val="0.17647222222222234"/>
          <c:h val="0.16743438320209994"/>
        </c:manualLayout>
      </c:layout>
    </c:legend>
    <c:plotVisOnly val="1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247650</xdr:colOff>
      <xdr:row>2</xdr:row>
      <xdr:rowOff>142875</xdr:rowOff>
    </xdr:from>
    <xdr:to>
      <xdr:col>23</xdr:col>
      <xdr:colOff>533400</xdr:colOff>
      <xdr:row>17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29</xdr:row>
      <xdr:rowOff>180975</xdr:rowOff>
    </xdr:from>
    <xdr:to>
      <xdr:col>16</xdr:col>
      <xdr:colOff>333375</xdr:colOff>
      <xdr:row>44</xdr:row>
      <xdr:rowOff>66675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361950</xdr:colOff>
      <xdr:row>29</xdr:row>
      <xdr:rowOff>161925</xdr:rowOff>
    </xdr:from>
    <xdr:to>
      <xdr:col>8</xdr:col>
      <xdr:colOff>57150</xdr:colOff>
      <xdr:row>44</xdr:row>
      <xdr:rowOff>47625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495300</xdr:colOff>
      <xdr:row>44</xdr:row>
      <xdr:rowOff>161925</xdr:rowOff>
    </xdr:from>
    <xdr:to>
      <xdr:col>7</xdr:col>
      <xdr:colOff>571500</xdr:colOff>
      <xdr:row>59</xdr:row>
      <xdr:rowOff>47625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209550</xdr:colOff>
      <xdr:row>28</xdr:row>
      <xdr:rowOff>152400</xdr:rowOff>
    </xdr:from>
    <xdr:to>
      <xdr:col>24</xdr:col>
      <xdr:colOff>514350</xdr:colOff>
      <xdr:row>43</xdr:row>
      <xdr:rowOff>38100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U78"/>
  <sheetViews>
    <sheetView tabSelected="1" topLeftCell="A46" workbookViewId="0">
      <selection activeCell="F72" sqref="F72"/>
    </sheetView>
  </sheetViews>
  <sheetFormatPr defaultRowHeight="15"/>
  <cols>
    <col min="7" max="7" width="12.5703125" customWidth="1"/>
    <col min="8" max="8" width="9.140625" style="1"/>
    <col min="17" max="17" width="10.85546875" bestFit="1" customWidth="1"/>
  </cols>
  <sheetData>
    <row r="1" spans="1:11">
      <c r="B1" s="25" t="s">
        <v>2</v>
      </c>
      <c r="C1" s="25"/>
      <c r="D1" s="25"/>
      <c r="E1" s="25"/>
      <c r="F1" s="25"/>
      <c r="G1" s="25"/>
      <c r="H1" s="25"/>
    </row>
    <row r="2" spans="1:11">
      <c r="B2" s="2">
        <v>1</v>
      </c>
      <c r="C2" s="2">
        <v>2</v>
      </c>
      <c r="D2" s="2">
        <v>4</v>
      </c>
      <c r="E2" s="2">
        <v>8</v>
      </c>
      <c r="F2" s="2">
        <v>16</v>
      </c>
      <c r="G2" s="2">
        <v>32</v>
      </c>
    </row>
    <row r="3" spans="1:11">
      <c r="A3" s="3" t="s">
        <v>0</v>
      </c>
      <c r="B3" s="1">
        <v>1</v>
      </c>
      <c r="C3" s="1">
        <v>4</v>
      </c>
      <c r="D3" s="1">
        <v>9</v>
      </c>
      <c r="E3" s="1">
        <v>13</v>
      </c>
      <c r="F3" s="1">
        <v>18</v>
      </c>
      <c r="G3" s="1">
        <v>20</v>
      </c>
    </row>
    <row r="4" spans="1:11">
      <c r="A4" s="3" t="s">
        <v>1</v>
      </c>
      <c r="B4" s="1">
        <v>0</v>
      </c>
      <c r="C4" s="1">
        <v>2</v>
      </c>
      <c r="D4" s="1">
        <v>6</v>
      </c>
      <c r="E4" s="1">
        <v>10</v>
      </c>
      <c r="F4" s="1">
        <v>12</v>
      </c>
      <c r="G4" s="1">
        <v>16</v>
      </c>
    </row>
    <row r="6" spans="1:11">
      <c r="A6" s="5" t="s">
        <v>3</v>
      </c>
      <c r="B6" s="5">
        <v>20</v>
      </c>
    </row>
    <row r="7" spans="1:11" ht="15.75" thickBot="1">
      <c r="G7" s="26" t="s">
        <v>33</v>
      </c>
      <c r="H7" s="26"/>
      <c r="I7" s="26"/>
      <c r="J7" s="26"/>
      <c r="K7" s="26"/>
    </row>
    <row r="8" spans="1:11" ht="15.75" thickBot="1">
      <c r="A8" s="2" t="s">
        <v>4</v>
      </c>
      <c r="B8" s="2" t="s">
        <v>2</v>
      </c>
      <c r="C8" s="2" t="s">
        <v>5</v>
      </c>
      <c r="D8" s="2" t="s">
        <v>6</v>
      </c>
      <c r="E8" s="17" t="s">
        <v>17</v>
      </c>
      <c r="G8" s="18" t="s">
        <v>27</v>
      </c>
      <c r="H8" s="18" t="s">
        <v>28</v>
      </c>
      <c r="I8" s="18" t="s">
        <v>30</v>
      </c>
      <c r="J8" s="18" t="s">
        <v>31</v>
      </c>
      <c r="K8" s="18" t="s">
        <v>32</v>
      </c>
    </row>
    <row r="9" spans="1:11">
      <c r="A9" s="1">
        <v>1</v>
      </c>
      <c r="B9" s="1">
        <v>1</v>
      </c>
      <c r="C9" s="1">
        <v>0</v>
      </c>
      <c r="D9" s="4">
        <v>1</v>
      </c>
      <c r="E9" s="10">
        <f>D9/$B$6</f>
        <v>0.05</v>
      </c>
      <c r="G9" s="19">
        <f>_xll.GLM_FORE($B9:$C9,$H$25:$H$27,$H$28,$H$29)</f>
        <v>0.32437646727049707</v>
      </c>
      <c r="H9" s="19">
        <f>_xll.GLM_FORESD($B9:$C9,$H$25:$H$27,$H$28,$H$29)</f>
        <v>0.1046796003889032</v>
      </c>
      <c r="I9" s="20">
        <f>_xll.GLM_FORECI($B9:$C9,$H$25:$H$27,$H$28,$H$29,$T$23,1)</f>
        <v>0.51423896651648593</v>
      </c>
      <c r="J9" s="20">
        <f>_xll.GLM_FORECI($B9:$C9,$H$25:$H$27,$H$28,$H$29,$T$23,0)</f>
        <v>0.10366887123556587</v>
      </c>
      <c r="K9" s="21">
        <f>I9-J9</f>
        <v>0.41057009528092003</v>
      </c>
    </row>
    <row r="10" spans="1:11">
      <c r="A10" s="1">
        <v>2</v>
      </c>
      <c r="B10" s="1">
        <v>2</v>
      </c>
      <c r="C10" s="1">
        <v>0</v>
      </c>
      <c r="D10" s="4">
        <v>4</v>
      </c>
      <c r="E10" s="10">
        <f t="shared" ref="E10:E20" si="0">D10/$B$6</f>
        <v>0.2</v>
      </c>
      <c r="G10" s="19">
        <f>_xll.GLM_FORE($B10:$C10,$H$25:$H$27,$H$28,$H$29)</f>
        <v>0.34834935266193345</v>
      </c>
      <c r="H10" s="19">
        <f>_xll.GLM_FORESD($B10:$C10,$H$25:$H$27,$H$28,$H$29)</f>
        <v>0.10653686713104187</v>
      </c>
      <c r="I10" s="20">
        <f>_xll.GLM_FORECI($B10:$C10,$H$25:$H$27,$H$28,$H$29,$T$23,1)</f>
        <v>0.54053346178920647</v>
      </c>
      <c r="J10" s="20">
        <f>_xll.GLM_FORECI($B10:$C10,$H$25:$H$27,$H$28,$H$29,$T$23,0)</f>
        <v>0.1186992372815882</v>
      </c>
      <c r="K10" s="21">
        <f t="shared" ref="K10:K20" si="1">I10-J10</f>
        <v>0.42183422450761826</v>
      </c>
    </row>
    <row r="11" spans="1:11">
      <c r="A11" s="1">
        <v>3</v>
      </c>
      <c r="B11" s="1">
        <v>4</v>
      </c>
      <c r="C11" s="1">
        <v>0</v>
      </c>
      <c r="D11" s="4">
        <v>9</v>
      </c>
      <c r="E11" s="10">
        <f t="shared" si="0"/>
        <v>0.45</v>
      </c>
      <c r="G11" s="19">
        <f>_xll.GLM_FORE($B11:$C11,$H$25:$H$27,$H$28,$H$29)</f>
        <v>0.39998093085427167</v>
      </c>
      <c r="H11" s="19">
        <f>_xll.GLM_FORESD($B11:$C11,$H$25:$H$27,$H$28,$H$29)</f>
        <v>0.10954364103114841</v>
      </c>
      <c r="I11" s="20">
        <f>_xll.GLM_FORECI($B11:$C11,$H$25:$H$27,$H$28,$H$29,$T$23,1)</f>
        <v>0.59439204400683487</v>
      </c>
      <c r="J11" s="20">
        <f>_xll.GLM_FORECI($B11:$C11,$H$25:$H$27,$H$28,$H$29,$T$23,0)</f>
        <v>0.16290238576704538</v>
      </c>
      <c r="K11" s="21">
        <f t="shared" si="1"/>
        <v>0.43148965823978946</v>
      </c>
    </row>
    <row r="12" spans="1:11">
      <c r="A12" s="1">
        <v>4</v>
      </c>
      <c r="B12" s="1">
        <v>8</v>
      </c>
      <c r="C12" s="1">
        <v>0</v>
      </c>
      <c r="D12" s="4">
        <v>13</v>
      </c>
      <c r="E12" s="10">
        <f t="shared" si="0"/>
        <v>0.65</v>
      </c>
      <c r="G12" s="19">
        <f>_xll.GLM_FORE($B12:$C12,$H$25:$H$27,$H$28,$H$29)</f>
        <v>0.51649306301147324</v>
      </c>
      <c r="H12" s="19">
        <f>_xll.GLM_FORESD($B12:$C12,$H$25:$H$27,$H$28,$H$29)</f>
        <v>0.11174255654684558</v>
      </c>
      <c r="I12" s="20">
        <f>_xll.GLM_FORECI($B12:$C12,$H$25:$H$27,$H$28,$H$29,$T$23,1)</f>
        <v>0.71027674883576242</v>
      </c>
      <c r="J12" s="20">
        <f>_xll.GLM_FORECI($B12:$C12,$H$25:$H$27,$H$28,$H$29,$T$23,0)</f>
        <v>0.26890053551243664</v>
      </c>
      <c r="K12" s="21">
        <f t="shared" si="1"/>
        <v>0.44137621332332577</v>
      </c>
    </row>
    <row r="13" spans="1:11">
      <c r="A13" s="1">
        <v>5</v>
      </c>
      <c r="B13" s="1">
        <v>16</v>
      </c>
      <c r="C13" s="1">
        <v>0</v>
      </c>
      <c r="D13" s="4">
        <v>18</v>
      </c>
      <c r="E13" s="10">
        <f t="shared" si="0"/>
        <v>0.9</v>
      </c>
      <c r="G13" s="19">
        <f>_xll.GLM_FORE($B13:$C13,$H$25:$H$27,$H$28,$H$29)</f>
        <v>0.77025988872193907</v>
      </c>
      <c r="H13" s="19">
        <f>_xll.GLM_FORESD($B13:$C13,$H$25:$H$27,$H$28,$H$29)</f>
        <v>9.4063699838993445E-2</v>
      </c>
      <c r="I13" s="20">
        <f>_xll.GLM_FORECI($B13:$C13,$H$25:$H$27,$H$28,$H$29,$T$23,1)</f>
        <v>0.91960837762667302</v>
      </c>
      <c r="J13" s="20">
        <f>_xll.GLM_FORECI($B13:$C13,$H$25:$H$27,$H$28,$H$29,$T$23,0)</f>
        <v>0.55065823411461723</v>
      </c>
      <c r="K13" s="21">
        <f t="shared" si="1"/>
        <v>0.36895014351205579</v>
      </c>
    </row>
    <row r="14" spans="1:11">
      <c r="A14" s="1">
        <v>6</v>
      </c>
      <c r="B14" s="1">
        <v>32</v>
      </c>
      <c r="C14" s="1">
        <v>0</v>
      </c>
      <c r="D14" s="4">
        <v>20</v>
      </c>
      <c r="E14" s="10">
        <f t="shared" si="0"/>
        <v>1</v>
      </c>
      <c r="G14" s="19">
        <f>_xll.GLM_FORE($B14:$C14,$H$25:$H$27,$H$28,$H$29)</f>
        <v>0.9975828412670309</v>
      </c>
      <c r="H14" s="19">
        <f>_xll.GLM_FORESD($B14:$C14,$H$25:$H$27,$H$28,$H$29)</f>
        <v>1.0980246073355406E-2</v>
      </c>
      <c r="I14" s="20">
        <f>_xll.GLM_FORECI($B14:$C14,$H$25:$H$27,$H$28,$H$29,$T$23,1)</f>
        <v>0.99868800976604954</v>
      </c>
      <c r="J14" s="20">
        <f>_xll.GLM_FORECI($B14:$C14,$H$25:$H$27,$H$28,$H$29,$T$23,0)</f>
        <v>0.9259056617296697</v>
      </c>
      <c r="K14" s="21">
        <f t="shared" si="1"/>
        <v>7.278234803637984E-2</v>
      </c>
    </row>
    <row r="15" spans="1:11">
      <c r="A15" s="1">
        <v>7</v>
      </c>
      <c r="B15" s="1">
        <v>1</v>
      </c>
      <c r="C15" s="1">
        <v>1</v>
      </c>
      <c r="D15" s="4">
        <v>0</v>
      </c>
      <c r="E15" s="10">
        <f t="shared" si="0"/>
        <v>0</v>
      </c>
      <c r="G15" s="19">
        <f>_xll.GLM_FORE($B15:$C15,$H$25:$H$27,$H$28,$H$29)</f>
        <v>0.15285139728050146</v>
      </c>
      <c r="H15" s="19">
        <f>_xll.GLM_FORESD($B15:$C15,$H$25:$H$27,$H$28,$H$29)</f>
        <v>8.0463609050893239E-2</v>
      </c>
      <c r="I15" s="20">
        <f>_xll.GLM_FORECI($B15:$C15,$H$25:$H$27,$H$28,$H$29,$T$23,1)</f>
        <v>0.29911483131905509</v>
      </c>
      <c r="J15" s="20">
        <f>_xll.GLM_FORECI($B15:$C15,$H$25:$H$27,$H$28,$H$29,$T$23,0)</f>
        <v>5.8314932082500495E-4</v>
      </c>
      <c r="K15" s="21">
        <f t="shared" si="1"/>
        <v>0.2985316819982301</v>
      </c>
    </row>
    <row r="16" spans="1:11">
      <c r="A16" s="1">
        <v>8</v>
      </c>
      <c r="B16" s="1">
        <v>2</v>
      </c>
      <c r="C16" s="1">
        <v>1</v>
      </c>
      <c r="D16" s="4">
        <v>2</v>
      </c>
      <c r="E16" s="10">
        <f t="shared" si="0"/>
        <v>0.1</v>
      </c>
      <c r="G16" s="19">
        <f>_xll.GLM_FORE($B16:$C16,$H$25:$H$27,$H$28,$H$29)</f>
        <v>0.16569999332925867</v>
      </c>
      <c r="H16" s="19">
        <f>_xll.GLM_FORESD($B16:$C16,$H$25:$H$27,$H$28,$H$29)</f>
        <v>8.313949288393041E-2</v>
      </c>
      <c r="I16" s="20">
        <f>_xll.GLM_FORECI($B16:$C16,$H$25:$H$27,$H$28,$H$29,$T$23,1)</f>
        <v>0.32199030453484767</v>
      </c>
      <c r="J16" s="20">
        <f>_xll.GLM_FORECI($B16:$C16,$H$25:$H$27,$H$28,$H$29,$T$23,0)</f>
        <v>8.7121951297342015E-5</v>
      </c>
      <c r="K16" s="21">
        <f t="shared" si="1"/>
        <v>0.32190318258355033</v>
      </c>
    </row>
    <row r="17" spans="1:20">
      <c r="A17" s="1">
        <v>9</v>
      </c>
      <c r="B17" s="1">
        <v>4</v>
      </c>
      <c r="C17" s="1">
        <v>1</v>
      </c>
      <c r="D17" s="4">
        <v>6</v>
      </c>
      <c r="E17" s="10">
        <f t="shared" si="0"/>
        <v>0.3</v>
      </c>
      <c r="G17" s="19">
        <f>_xll.GLM_FORE($B17:$C17,$H$25:$H$27,$H$28,$H$29)</f>
        <v>0.19433104490286168</v>
      </c>
      <c r="H17" s="19">
        <f>_xll.GLM_FORESD($B17:$C17,$H$25:$H$27,$H$28,$H$29)</f>
        <v>8.8477819223188259E-2</v>
      </c>
      <c r="I17" s="20">
        <f>_xll.GLM_FORECI($B17:$C17,$H$25:$H$27,$H$28,$H$29,$T$23,1)</f>
        <v>0.35625330437116054</v>
      </c>
      <c r="J17" s="20">
        <f>_xll.GLM_FORECI($B17:$C17,$H$25:$H$27,$H$28,$H$29,$T$23,0)</f>
        <v>9.1500543425408806E-3</v>
      </c>
      <c r="K17" s="21">
        <f t="shared" si="1"/>
        <v>0.34710325002861964</v>
      </c>
    </row>
    <row r="18" spans="1:20">
      <c r="A18" s="1">
        <v>10</v>
      </c>
      <c r="B18" s="1">
        <v>8</v>
      </c>
      <c r="C18" s="1">
        <v>1</v>
      </c>
      <c r="D18" s="4">
        <v>10</v>
      </c>
      <c r="E18" s="10">
        <f t="shared" si="0"/>
        <v>0.5</v>
      </c>
      <c r="G18" s="19">
        <f>_xll.GLM_FORE($B18:$C18,$H$25:$H$27,$H$28,$H$29)</f>
        <v>0.26465334739130475</v>
      </c>
      <c r="H18" s="19">
        <f>_xll.GLM_FORESD($B18:$C18,$H$25:$H$27,$H$28,$H$29)</f>
        <v>9.8643791772691433E-2</v>
      </c>
      <c r="I18" s="20">
        <f>_xll.GLM_FORECI($B18:$C18,$H$25:$H$27,$H$28,$H$29,$T$23,1)</f>
        <v>0.44411629326380792</v>
      </c>
      <c r="J18" s="20">
        <f>_xll.GLM_FORECI($B18:$C18,$H$25:$H$27,$H$28,$H$29,$T$23,0)</f>
        <v>5.7109843673485719E-2</v>
      </c>
      <c r="K18" s="21">
        <f t="shared" si="1"/>
        <v>0.38700644959032221</v>
      </c>
    </row>
    <row r="19" spans="1:20">
      <c r="A19" s="1">
        <v>11</v>
      </c>
      <c r="B19" s="1">
        <v>16</v>
      </c>
      <c r="C19" s="1">
        <v>1</v>
      </c>
      <c r="D19" s="4">
        <v>12</v>
      </c>
      <c r="E19" s="10">
        <f t="shared" si="0"/>
        <v>0.6</v>
      </c>
      <c r="G19" s="19">
        <f>_xll.GLM_FORE($B19:$C19,$H$25:$H$27,$H$28,$H$29)</f>
        <v>0.46323711303911197</v>
      </c>
      <c r="H19" s="19">
        <f>_xll.GLM_FORESD($B19:$C19,$H$25:$H$27,$H$28,$H$29)</f>
        <v>0.11150078254037075</v>
      </c>
      <c r="I19" s="20">
        <f>_xll.GLM_FORECI($B19:$C19,$H$25:$H$27,$H$28,$H$29,$T$23,1)</f>
        <v>0.65865420686772835</v>
      </c>
      <c r="J19" s="20">
        <f>_xll.GLM_FORECI($B19:$C19,$H$25:$H$27,$H$28,$H$29,$T$23,0)</f>
        <v>0.21861050755581143</v>
      </c>
      <c r="K19" s="21">
        <f t="shared" si="1"/>
        <v>0.44004369931191689</v>
      </c>
    </row>
    <row r="20" spans="1:20">
      <c r="A20" s="1">
        <v>12</v>
      </c>
      <c r="B20" s="1">
        <v>32</v>
      </c>
      <c r="C20" s="1">
        <v>1</v>
      </c>
      <c r="D20" s="4">
        <v>16</v>
      </c>
      <c r="E20" s="10">
        <f t="shared" si="0"/>
        <v>0.8</v>
      </c>
      <c r="G20" s="19">
        <f>_xll.GLM_FORE($B20:$C20,$H$25:$H$27,$H$28,$H$29)</f>
        <v>0.92182762641849636</v>
      </c>
      <c r="H20" s="19">
        <f>_xll.GLM_FORESD($B20:$C20,$H$25:$H$27,$H$28,$H$29)</f>
        <v>6.0025600201138132E-2</v>
      </c>
      <c r="I20" s="20">
        <f>_xll.GLM_FORECI($B20:$C20,$H$25:$H$27,$H$28,$H$29,$T$23,1)</f>
        <v>0.99363328185064614</v>
      </c>
      <c r="J20" s="20">
        <f>_xll.GLM_FORECI($B20:$C20,$H$25:$H$27,$H$28,$H$29,$T$23,0)</f>
        <v>0.75840194331070687</v>
      </c>
      <c r="K20" s="21">
        <f t="shared" si="1"/>
        <v>0.23523133853993927</v>
      </c>
    </row>
    <row r="22" spans="1:20" ht="15.75" thickBot="1"/>
    <row r="23" spans="1:20" ht="15.75" thickBot="1">
      <c r="F23" s="6" t="s">
        <v>29</v>
      </c>
      <c r="K23" s="6" t="s">
        <v>18</v>
      </c>
      <c r="P23" s="6" t="s">
        <v>19</v>
      </c>
      <c r="T23" s="14">
        <f>0.05</f>
        <v>0.05</v>
      </c>
    </row>
    <row r="24" spans="1:20" ht="15.75" thickBot="1">
      <c r="F24" s="7"/>
      <c r="G24" s="7" t="s">
        <v>7</v>
      </c>
      <c r="H24" s="15" t="s">
        <v>8</v>
      </c>
      <c r="I24" s="23" t="s">
        <v>34</v>
      </c>
      <c r="K24" s="7" t="s">
        <v>15</v>
      </c>
      <c r="L24" s="7" t="s">
        <v>14</v>
      </c>
      <c r="M24" s="7" t="s">
        <v>16</v>
      </c>
      <c r="P24" s="12" t="s">
        <v>22</v>
      </c>
      <c r="Q24" s="12" t="s">
        <v>23</v>
      </c>
      <c r="R24" s="12" t="s">
        <v>24</v>
      </c>
      <c r="S24" s="12" t="s">
        <v>25</v>
      </c>
      <c r="T24" s="12" t="s">
        <v>26</v>
      </c>
    </row>
    <row r="25" spans="1:20" ht="18">
      <c r="G25" s="8" t="s">
        <v>9</v>
      </c>
      <c r="H25" s="9">
        <v>-1.024322589891953</v>
      </c>
      <c r="I25" s="22">
        <f t="array" ref="I25:I27">_xll.GLM_ERRORS($B$9:$C$20,$H$25:$H$27,$H$28,$H$29)</f>
        <v>0.14030352189433415</v>
      </c>
      <c r="K25" s="13">
        <f>_xll.GLM_LLF(Sheet1!$E$9:$E$20,Sheet1!$B$9:$C$20,$H$25:$H$27,$H$28,$H$29)</f>
        <v>-31.7946270131158</v>
      </c>
      <c r="L25" s="13">
        <f>_xll.GLM_AIC(Sheet1!$E$9:$E$20,Sheet1!$B$9:$C$20,$H$25:$H$27,$H$28,$H$29)</f>
        <v>72.5892540262316</v>
      </c>
      <c r="M25" s="24">
        <f>_xll.GLM_CHECK($H$25:$H$27,$H$28,$H$29)</f>
        <v>1</v>
      </c>
      <c r="P25" s="13">
        <f>AVERAGE(_xll.RMNA(_xll.GLM_RESID(Sheet1!$E$9:$E$20,Sheet1!$B$9:$C$20,$H$25:$H$27,$H$28,$H$29)))</f>
        <v>-5.6296245351742692E-2</v>
      </c>
      <c r="Q25" s="13">
        <f>STDEV(_xll.RMNA(_xll.GLM_RESID(Sheet1!$E$9:$E$20,Sheet1!$B$9:$C$20,$H$25:$H$27,$H$28,$H$29)))</f>
        <v>1.6329920649917049</v>
      </c>
      <c r="R25" s="13">
        <f>SKEW(_xll.RMNA(_xll.GLM_RESID(Sheet1!$E$9:$E$20,Sheet1!$B$9:$C$20,$H$25:$H$27,$H$28,$H$29)))</f>
        <v>-0.24790147263977452</v>
      </c>
      <c r="S25" s="13">
        <f>KURT(_xll.RMNA(_xll.GLM_RESID(Sheet1!$E$9:$E$20,Sheet1!$B$9:$C$20,$H$25:$H$27,$H$28,$H$29)))</f>
        <v>-1.3530843773901671</v>
      </c>
      <c r="T25" s="13" t="b">
        <f>IF(_xll.NormalityTest(_xll.RMNA(_xll.GLM_RESID(Sheet1!$E$9:$E$20,Sheet1!$B$9:$C$20,$H$25:$H$27,$H$28,$H$29)),1) &gt;$T$23, TRUE, FALSE)</f>
        <v>1</v>
      </c>
    </row>
    <row r="26" spans="1:20" ht="18">
      <c r="G26" s="8" t="s">
        <v>10</v>
      </c>
      <c r="H26" s="9">
        <v>8.813334502603723E-2</v>
      </c>
      <c r="I26" s="22">
        <v>4.3853905829215108E-3</v>
      </c>
      <c r="K26" s="16"/>
      <c r="O26" s="11" t="s">
        <v>20</v>
      </c>
      <c r="P26" s="13">
        <v>0</v>
      </c>
      <c r="Q26" s="13">
        <v>1</v>
      </c>
      <c r="R26" s="13">
        <v>0</v>
      </c>
      <c r="S26" s="13">
        <v>0</v>
      </c>
    </row>
    <row r="27" spans="1:20" ht="18">
      <c r="G27" s="8" t="s">
        <v>11</v>
      </c>
      <c r="H27" s="9">
        <v>-0.86030650021535116</v>
      </c>
      <c r="I27" s="22">
        <v>2.5550072593360933E-2</v>
      </c>
      <c r="O27" s="11" t="s">
        <v>21</v>
      </c>
      <c r="P27" s="1" t="b">
        <f>IF( _xll.TEST_MEAN(_xll.RMNA(_xll.GLM_RESID(Sheet1!$E$9:$E$20,Sheet1!$B$9:$C$20,$H$25:$H$27,$H$28,$H$29)),P26) &gt;$T$23/2, FALSE, TRUE)</f>
        <v>0</v>
      </c>
      <c r="Q27" s="1" t="b">
        <f>IF( _xll.TEST_STDEV(_xll.RMNA(_xll.GLM_RESID(Sheet1!$E$9:$E$20,Sheet1!$B$9:$C$20,$H$25:$H$27,$H$28,$H$29)),Q26) &gt;$T$23, FALSE, TRUE)</f>
        <v>1</v>
      </c>
      <c r="R27" s="1" t="b">
        <f>IF( _xll.TEST_SKEW(_xll.RMNA(_xll.GLM_RESID(Sheet1!$E$9:$E$20,Sheet1!$B$9:$C$20,$H$25:$H$27,$H$28,$H$29))) &gt;$T$23/2, FALSE, TRUE)</f>
        <v>0</v>
      </c>
      <c r="S27" s="1" t="b">
        <f>IF( _xll.TEST_XKURT(_xll.RMNA(_xll.GLM_RESID(Sheet1!$E$9:$E$20,Sheet1!$B$9:$C$20,$H$25:$H$27,$H$28,$H$29))) &gt;$T$23/2, FALSE, TRUE)</f>
        <v>0</v>
      </c>
    </row>
    <row r="28" spans="1:20">
      <c r="G28" s="4" t="s">
        <v>12</v>
      </c>
      <c r="H28" s="9">
        <f>1/20</f>
        <v>0.05</v>
      </c>
    </row>
    <row r="29" spans="1:20">
      <c r="G29" s="4" t="s">
        <v>13</v>
      </c>
      <c r="H29" s="9">
        <v>5</v>
      </c>
    </row>
    <row r="63" spans="6:21" ht="15.75" thickBot="1">
      <c r="F63" s="6" t="s">
        <v>35</v>
      </c>
      <c r="J63" s="6" t="s">
        <v>18</v>
      </c>
      <c r="O63" s="6" t="s">
        <v>19</v>
      </c>
    </row>
    <row r="64" spans="6:21" ht="15.75" thickBot="1">
      <c r="F64" s="7"/>
      <c r="G64" s="7" t="s">
        <v>7</v>
      </c>
      <c r="H64" s="15" t="s">
        <v>8</v>
      </c>
      <c r="J64" s="7" t="s">
        <v>15</v>
      </c>
      <c r="K64" s="7" t="s">
        <v>14</v>
      </c>
      <c r="L64" s="7" t="s">
        <v>16</v>
      </c>
      <c r="O64" s="12" t="s">
        <v>22</v>
      </c>
      <c r="P64" s="12" t="s">
        <v>23</v>
      </c>
      <c r="Q64" s="12" t="s">
        <v>24</v>
      </c>
      <c r="R64" s="12" t="s">
        <v>25</v>
      </c>
      <c r="S64" s="12" t="s">
        <v>40</v>
      </c>
      <c r="T64" s="12" t="s">
        <v>26</v>
      </c>
      <c r="U64" s="12" t="s">
        <v>41</v>
      </c>
    </row>
    <row r="65" spans="6:21" ht="18">
      <c r="G65" s="8" t="s">
        <v>36</v>
      </c>
      <c r="H65" s="9">
        <v>0.46249999999999997</v>
      </c>
      <c r="J65" s="27">
        <f>_xll.ARMA_LLF(Sheet1!$E$9:$E$20,1,$H$65,$H$68,$H$66,$H$67)</f>
        <v>-3.507468278086106</v>
      </c>
      <c r="K65" s="27">
        <f>_xll.ARMA_AIC(Sheet1!$E$9:$E$20,1,$H$65,$H$68,$H$66,$H$67)</f>
        <v>16.014936556172213</v>
      </c>
      <c r="L65" s="28">
        <f>_xll.ARMA_CHECK($H$65,$H$68,$H$66,$H$67)</f>
        <v>1</v>
      </c>
      <c r="O65" s="13">
        <f>AVERAGE(_xll.RMNA(_xll.ARMA_RESID(Sheet1!$E$9:$E$20,1,$H$65,$H$68,$H$66,$H$67)))</f>
        <v>1.4802973661668753E-16</v>
      </c>
      <c r="P65" s="13">
        <f>STDEV(_xll.RMNA(_xll.ARMA_RESID(Sheet1!$E$9:$E$20,1,$H$65,$H$68,$H$66,$H$67)))</f>
        <v>1.0444659357341868</v>
      </c>
      <c r="Q65" s="13">
        <f>SKEW(_xll.RMNA(_xll.ARMA_RESID(Sheet1!$E$9:$E$20,1,$H$65,$H$68,$H$66,$H$67)))</f>
        <v>0.13378457344081027</v>
      </c>
      <c r="R65" s="13">
        <f>KURT(_xll.RMNA(_xll.ARMA_RESID(Sheet1!$E$9:$E$20,1,$H$65,$H$68,$H$66,$H$67)))</f>
        <v>-1.2486928698198851</v>
      </c>
      <c r="S65" s="13" t="b">
        <f>IF(_xll.WNTest(_xll.RMNA(_xll.ARMA_RESID(Sheet1!$E$9:$E$20,1,$H$65,$H$68,$H$66,$H$67)),1) &gt;0.05, TRUE, FALSE)</f>
        <v>1</v>
      </c>
      <c r="T65" s="13" t="b">
        <f>IF(_xll.NormalityTest(_xll.RMNA(_xll.ARMA_RESID(Sheet1!$E$9:$E$20,1,$H$65,$H$68,$H$66,$H$67)),1) &gt;0.05, TRUE, FALSE)</f>
        <v>1</v>
      </c>
      <c r="U65" s="13" t="b">
        <f>IF(_xll.ARCHTest(_xll.RMNA(_xll.ARMA_RESID(Sheet1!$E$9:$E$20,1,$H$65,$H$68,$H$66,$H$67)),1) &lt;0.05, TRUE, FALSE)</f>
        <v>0</v>
      </c>
    </row>
    <row r="66" spans="6:21" ht="18">
      <c r="G66" s="8" t="s">
        <v>37</v>
      </c>
      <c r="H66" s="9">
        <v>0</v>
      </c>
      <c r="N66" s="11" t="s">
        <v>20</v>
      </c>
      <c r="O66" s="13">
        <v>0</v>
      </c>
      <c r="P66" s="13">
        <v>1</v>
      </c>
      <c r="Q66" s="13">
        <v>0</v>
      </c>
      <c r="R66" s="13">
        <v>0</v>
      </c>
    </row>
    <row r="67" spans="6:21" ht="18">
      <c r="G67" s="8" t="s">
        <v>38</v>
      </c>
      <c r="H67" s="9">
        <v>0</v>
      </c>
      <c r="N67" s="11" t="s">
        <v>21</v>
      </c>
      <c r="O67" s="1" t="b">
        <f>IF( _xll.TEST_MEAN(_xll.RMNA(_xll.ARMA_RESID(Sheet1!$E$9:$E$20,1,$H$65,$H$68,$H$66,$H$67)),O66) &gt;0.05/2, FALSE, TRUE)</f>
        <v>0</v>
      </c>
      <c r="P67" s="1" t="b">
        <f>IF( _xll.TEST_STDEV(_xll.RMNA(_xll.ARMA_RESID(Sheet1!$E$9:$E$20,1,$H$65,$H$68,$H$66,$H$67)),P66) &gt;0.05, FALSE, TRUE)</f>
        <v>0</v>
      </c>
      <c r="Q67" s="1" t="b">
        <f>IF( _xll.TEST_SKEW(_xll.RMNA(_xll.ARMA_RESID(Sheet1!$E$9:$E$20,1,$H$65,$H$68,$H$66,$H$67))) &gt;0.05/2, FALSE, TRUE)</f>
        <v>0</v>
      </c>
      <c r="R67" s="1" t="b">
        <f>IF( _xll.TEST_XKURT(_xll.RMNA(_xll.ARMA_RESID(Sheet1!$E$9:$E$20,1,$H$65,$H$68,$H$66,$H$67))) &gt;0.05/2, FALSE, TRUE)</f>
        <v>0</v>
      </c>
    </row>
    <row r="68" spans="6:21">
      <c r="G68" s="4" t="s">
        <v>39</v>
      </c>
      <c r="H68" s="9">
        <v>0.32411739128490674</v>
      </c>
    </row>
    <row r="71" spans="6:21" ht="15.75" thickBot="1"/>
    <row r="72" spans="6:21" ht="15.75" thickBot="1">
      <c r="F72" s="6" t="s">
        <v>29</v>
      </c>
      <c r="J72" s="6" t="s">
        <v>18</v>
      </c>
      <c r="O72" s="6" t="s">
        <v>19</v>
      </c>
      <c r="S72" s="14">
        <f>0.05</f>
        <v>0.05</v>
      </c>
    </row>
    <row r="73" spans="6:21" ht="15.75" thickBot="1">
      <c r="F73" s="7"/>
      <c r="G73" s="7" t="s">
        <v>7</v>
      </c>
      <c r="H73" s="15" t="s">
        <v>8</v>
      </c>
      <c r="J73" s="7" t="s">
        <v>15</v>
      </c>
      <c r="K73" s="7" t="s">
        <v>14</v>
      </c>
      <c r="L73" s="7" t="s">
        <v>16</v>
      </c>
      <c r="O73" s="12" t="s">
        <v>22</v>
      </c>
      <c r="P73" s="12" t="s">
        <v>23</v>
      </c>
      <c r="Q73" s="12" t="s">
        <v>24</v>
      </c>
      <c r="R73" s="12" t="s">
        <v>25</v>
      </c>
      <c r="S73" s="12" t="s">
        <v>26</v>
      </c>
    </row>
    <row r="74" spans="6:21" ht="18">
      <c r="G74" s="8" t="s">
        <v>9</v>
      </c>
      <c r="H74" s="9">
        <v>-0.15028220304933826</v>
      </c>
      <c r="J74" s="27">
        <f>_xll.GLM_LLF(Sheet1!$E$9:$E$20,Sheet1!$B$9:$C$20,$H$74:$H$76,$H$77,$H$78)</f>
        <v>-77.49299680291216</v>
      </c>
      <c r="K74" s="27">
        <f>_xll.GLM_AIC(Sheet1!$E$9:$E$20,Sheet1!$B$9:$C$20,$H$74:$H$76,$H$77,$H$78)</f>
        <v>163.98599360582432</v>
      </c>
      <c r="L74" s="28">
        <f>_xll.GLM_CHECK($H$74:$H$76,$H$77,$H$78)</f>
        <v>1</v>
      </c>
      <c r="O74" s="13">
        <f>AVERAGE(_xll.RMNA(_xll.GLM_RESID(Sheet1!$E$9:$E$20,Sheet1!$B$9:$C$20,$H$74:$H$76,$H$77,$H$78)))</f>
        <v>7.0314124892926578E-16</v>
      </c>
      <c r="P74" s="13">
        <f>STDEV(_xll.RMNA(_xll.GLM_RESID(Sheet1!$E$9:$E$20,Sheet1!$B$9:$C$20,$H$74:$H$76,$H$77,$H$78)))</f>
        <v>3.0364526291186857</v>
      </c>
      <c r="Q74" s="13">
        <f>SKEW(_xll.RMNA(_xll.GLM_RESID(Sheet1!$E$9:$E$20,Sheet1!$B$9:$C$20,$H$74:$H$76,$H$77,$H$78)))</f>
        <v>0.13378457344081013</v>
      </c>
      <c r="R74" s="13">
        <f>KURT(_xll.RMNA(_xll.GLM_RESID(Sheet1!$E$9:$E$20,Sheet1!$B$9:$C$20,$H$74:$H$76,$H$77,$H$78)))</f>
        <v>-1.2486928698198847</v>
      </c>
      <c r="S74" s="13" t="b">
        <f>IF(_xll.NormalityTest(_xll.RMNA(_xll.GLM_RESID(Sheet1!$E$9:$E$20,Sheet1!$B$9:$C$20,$H$74:$H$76,$H$77,$H$78)),1) &gt;$S$72, TRUE, FALSE)</f>
        <v>1</v>
      </c>
    </row>
    <row r="75" spans="6:21" ht="18">
      <c r="G75" s="8" t="s">
        <v>10</v>
      </c>
      <c r="H75" s="9">
        <v>0</v>
      </c>
      <c r="N75" s="11" t="s">
        <v>20</v>
      </c>
      <c r="O75" s="13">
        <v>0</v>
      </c>
      <c r="P75" s="13">
        <v>1</v>
      </c>
      <c r="Q75" s="13">
        <v>0</v>
      </c>
      <c r="R75" s="13">
        <v>0</v>
      </c>
    </row>
    <row r="76" spans="6:21" ht="18">
      <c r="G76" s="8" t="s">
        <v>11</v>
      </c>
      <c r="H76" s="9">
        <v>0</v>
      </c>
      <c r="N76" s="11" t="s">
        <v>21</v>
      </c>
      <c r="O76" s="1" t="b">
        <f>IF( _xll.TEST_MEAN(_xll.RMNA(_xll.GLM_RESID(Sheet1!$E$9:$E$20,Sheet1!$B$9:$C$20,$H$74:$H$76,$H$77,$H$78)),O75) &gt;$S$72/2, FALSE, TRUE)</f>
        <v>0</v>
      </c>
      <c r="P76" s="1" t="b">
        <f>IF( _xll.TEST_STDEV(_xll.RMNA(_xll.GLM_RESID(Sheet1!$E$9:$E$20,Sheet1!$B$9:$C$20,$H$74:$H$76,$H$77,$H$78)),P75) &gt;$S$72, FALSE, TRUE)</f>
        <v>1</v>
      </c>
      <c r="Q76" s="1" t="b">
        <f>IF( _xll.TEST_SKEW(_xll.RMNA(_xll.GLM_RESID(Sheet1!$E$9:$E$20,Sheet1!$B$9:$C$20,$H$74:$H$76,$H$77,$H$78))) &gt;$S$72/2, FALSE, TRUE)</f>
        <v>0</v>
      </c>
      <c r="R76" s="1" t="b">
        <f>IF( _xll.TEST_XKURT(_xll.RMNA(_xll.GLM_RESID(Sheet1!$E$9:$E$20,Sheet1!$B$9:$C$20,$H$74:$H$76,$H$77,$H$78))) &gt;$S$72/2, FALSE, TRUE)</f>
        <v>0</v>
      </c>
    </row>
    <row r="77" spans="6:21">
      <c r="G77" s="4" t="s">
        <v>12</v>
      </c>
      <c r="H77" s="9">
        <v>0.05</v>
      </c>
    </row>
    <row r="78" spans="6:21">
      <c r="G78" s="4" t="s">
        <v>13</v>
      </c>
      <c r="H78" s="9">
        <v>3</v>
      </c>
    </row>
  </sheetData>
  <sortState ref="A9:D20">
    <sortCondition ref="C9:C20"/>
  </sortState>
  <mergeCells count="2">
    <mergeCell ref="B1:H1"/>
    <mergeCell ref="G7:K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personal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</dc:creator>
  <cp:lastModifiedBy>mohamad</cp:lastModifiedBy>
  <dcterms:created xsi:type="dcterms:W3CDTF">2012-01-24T01:06:52Z</dcterms:created>
  <dcterms:modified xsi:type="dcterms:W3CDTF">2012-01-27T02:16:49Z</dcterms:modified>
</cp:coreProperties>
</file>